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5205" yWindow="105" windowWidth="19320" windowHeight="13740" tabRatio="717" activeTab="1"/>
  </bookViews>
  <sheets>
    <sheet name="Аналитика данных" sheetId="6" r:id="rId1"/>
    <sheet name="Оценка ДП" sheetId="8" r:id="rId2"/>
  </sheets>
  <calcPr calcId="125725" concurrentCalc="0"/>
</workbook>
</file>

<file path=xl/calcChain.xml><?xml version="1.0" encoding="utf-8"?>
<calcChain xmlns="http://schemas.openxmlformats.org/spreadsheetml/2006/main">
  <c r="F79" i="6"/>
  <c r="G79"/>
  <c r="E79"/>
  <c r="F76"/>
  <c r="G76"/>
  <c r="E76"/>
  <c r="G80"/>
  <c r="F80"/>
  <c r="E80"/>
  <c r="F84"/>
  <c r="I19" i="8"/>
  <c r="H19"/>
  <c r="I18"/>
  <c r="H18"/>
  <c r="I17"/>
  <c r="H17"/>
  <c r="I16"/>
  <c r="H16"/>
  <c r="J65" i="6"/>
  <c r="I65"/>
  <c r="J64"/>
  <c r="I64"/>
  <c r="J63"/>
  <c r="I63"/>
  <c r="J68"/>
  <c r="I68"/>
  <c r="I57"/>
  <c r="J61"/>
  <c r="I61"/>
  <c r="J60"/>
  <c r="I60"/>
  <c r="J59"/>
  <c r="I59"/>
  <c r="J58"/>
  <c r="I58"/>
  <c r="J57"/>
  <c r="J56"/>
  <c r="I56"/>
  <c r="J55"/>
  <c r="I55"/>
  <c r="J54"/>
  <c r="I54"/>
  <c r="J53"/>
  <c r="I53"/>
  <c r="J52"/>
  <c r="I52"/>
  <c r="J51"/>
  <c r="I51"/>
  <c r="J50"/>
  <c r="I50"/>
  <c r="I8" i="8"/>
  <c r="I5"/>
  <c r="D45"/>
  <c r="C45"/>
  <c r="D12"/>
  <c r="C12"/>
  <c r="D6"/>
  <c r="D18"/>
  <c r="I15"/>
  <c r="C6"/>
  <c r="C18"/>
  <c r="H15"/>
  <c r="I14"/>
  <c r="H14"/>
  <c r="I4"/>
  <c r="I12"/>
  <c r="H4"/>
  <c r="H12"/>
  <c r="I11"/>
  <c r="H11"/>
  <c r="I10"/>
  <c r="H10"/>
  <c r="H5"/>
  <c r="H8"/>
  <c r="I6"/>
  <c r="I7"/>
  <c r="H6"/>
  <c r="H7"/>
  <c r="D20"/>
  <c r="D25"/>
  <c r="D30"/>
  <c r="D32"/>
  <c r="D38"/>
  <c r="D43"/>
  <c r="D44"/>
  <c r="D47"/>
  <c r="C20"/>
  <c r="C25"/>
  <c r="C30"/>
  <c r="C32"/>
  <c r="C38"/>
  <c r="C43"/>
  <c r="C44"/>
  <c r="C4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6"/>
  <c r="F83" i="6"/>
  <c r="E83"/>
  <c r="F6"/>
  <c r="G6"/>
  <c r="I6"/>
  <c r="J6"/>
  <c r="K6"/>
  <c r="F7"/>
  <c r="G7"/>
  <c r="I7"/>
  <c r="J7"/>
  <c r="K7"/>
  <c r="F8"/>
  <c r="G8"/>
  <c r="I8"/>
  <c r="J8"/>
  <c r="K8"/>
  <c r="F9"/>
  <c r="G9"/>
  <c r="I9"/>
  <c r="J9"/>
  <c r="K9"/>
  <c r="F10"/>
  <c r="G10"/>
  <c r="I10"/>
  <c r="J10"/>
  <c r="K10"/>
  <c r="F11"/>
  <c r="G11"/>
  <c r="I11"/>
  <c r="J11"/>
  <c r="K11"/>
  <c r="F12"/>
  <c r="G12"/>
  <c r="I12"/>
  <c r="J12"/>
  <c r="K12"/>
  <c r="F14"/>
  <c r="G14"/>
  <c r="I14"/>
  <c r="J14"/>
  <c r="K14"/>
  <c r="F15"/>
  <c r="G15"/>
  <c r="I15"/>
  <c r="J15"/>
  <c r="K15"/>
  <c r="F16"/>
  <c r="G16"/>
  <c r="I16"/>
  <c r="J16"/>
  <c r="K16"/>
  <c r="F17"/>
  <c r="G17"/>
  <c r="I17"/>
  <c r="J17"/>
  <c r="K17"/>
  <c r="F18"/>
  <c r="G18"/>
  <c r="I18"/>
  <c r="J18"/>
  <c r="K18"/>
  <c r="F19"/>
  <c r="G19"/>
  <c r="I19"/>
  <c r="J19"/>
  <c r="K19"/>
  <c r="F20"/>
  <c r="G20"/>
  <c r="I20"/>
  <c r="J20"/>
  <c r="K20"/>
  <c r="F21"/>
  <c r="G21"/>
  <c r="F25"/>
  <c r="G25"/>
  <c r="I25"/>
  <c r="J25"/>
  <c r="K25"/>
  <c r="I26"/>
  <c r="J26"/>
  <c r="K26"/>
  <c r="F27"/>
  <c r="G27"/>
  <c r="I27"/>
  <c r="J27"/>
  <c r="K27"/>
  <c r="F28"/>
  <c r="G28"/>
  <c r="I28"/>
  <c r="J28"/>
  <c r="K28"/>
  <c r="F29"/>
  <c r="G29"/>
  <c r="I29"/>
  <c r="J29"/>
  <c r="K29"/>
  <c r="F30"/>
  <c r="G30"/>
  <c r="I30"/>
  <c r="J30"/>
  <c r="K30"/>
  <c r="F31"/>
  <c r="G31"/>
  <c r="I31"/>
  <c r="J31"/>
  <c r="K31"/>
  <c r="F33"/>
  <c r="G33"/>
  <c r="I33"/>
  <c r="J33"/>
  <c r="K33"/>
  <c r="F34"/>
  <c r="G34"/>
  <c r="I34"/>
  <c r="J34"/>
  <c r="K34"/>
  <c r="F35"/>
  <c r="G35"/>
  <c r="I35"/>
  <c r="J35"/>
  <c r="K35"/>
  <c r="F36"/>
  <c r="G36"/>
  <c r="I36"/>
  <c r="J36"/>
  <c r="K36"/>
  <c r="F38"/>
  <c r="G38"/>
  <c r="I38"/>
  <c r="J38"/>
  <c r="K38"/>
  <c r="F39"/>
  <c r="G39"/>
  <c r="I39"/>
  <c r="J39"/>
  <c r="K39"/>
  <c r="I40"/>
  <c r="J40"/>
  <c r="K40"/>
  <c r="F41"/>
  <c r="G41"/>
  <c r="I41"/>
  <c r="J41"/>
  <c r="K41"/>
  <c r="I42"/>
  <c r="J42"/>
  <c r="K42"/>
  <c r="F43"/>
  <c r="G43"/>
  <c r="I43"/>
  <c r="J43"/>
  <c r="K43"/>
  <c r="F44"/>
  <c r="G44"/>
  <c r="P13"/>
  <c r="O13"/>
  <c r="Q13"/>
  <c r="S12"/>
  <c r="T12"/>
  <c r="P12"/>
  <c r="Q12"/>
  <c r="O12"/>
  <c r="F87"/>
  <c r="E87"/>
  <c r="E86"/>
  <c r="F86"/>
  <c r="E85"/>
  <c r="F85"/>
  <c r="E84"/>
  <c r="S16"/>
  <c r="T16"/>
  <c r="P16"/>
  <c r="O16"/>
  <c r="Q16"/>
  <c r="E81"/>
  <c r="F81"/>
  <c r="G81"/>
  <c r="S8"/>
  <c r="T8"/>
  <c r="O14"/>
  <c r="P14"/>
  <c r="Q14"/>
  <c r="O11"/>
  <c r="P11"/>
  <c r="O10"/>
  <c r="P10"/>
  <c r="Q10"/>
  <c r="P8"/>
  <c r="Q8"/>
  <c r="O8"/>
  <c r="P6"/>
  <c r="Q6"/>
  <c r="O6"/>
  <c r="O5"/>
  <c r="P5"/>
  <c r="P4"/>
  <c r="Q4"/>
  <c r="O4"/>
  <c r="E12"/>
  <c r="D12"/>
  <c r="C12"/>
  <c r="F78"/>
  <c r="G78"/>
  <c r="E78"/>
  <c r="E21"/>
  <c r="G77"/>
  <c r="D21"/>
  <c r="F77"/>
  <c r="C21"/>
  <c r="E77"/>
  <c r="G75"/>
  <c r="E75"/>
  <c r="F75"/>
  <c r="E31"/>
  <c r="D43"/>
  <c r="E43"/>
  <c r="C43"/>
  <c r="D36"/>
  <c r="E36"/>
  <c r="C36"/>
  <c r="D31"/>
  <c r="C31"/>
  <c r="D20"/>
  <c r="E20"/>
  <c r="C20"/>
  <c r="D44"/>
  <c r="E44"/>
  <c r="C44"/>
  <c r="C53"/>
  <c r="C56"/>
  <c r="C62"/>
  <c r="C63"/>
  <c r="C68"/>
</calcChain>
</file>

<file path=xl/sharedStrings.xml><?xml version="1.0" encoding="utf-8"?>
<sst xmlns="http://schemas.openxmlformats.org/spreadsheetml/2006/main" count="265" uniqueCount="204">
  <si>
    <t xml:space="preserve">ПРИЛОЖЕНИЕ № 1.  </t>
  </si>
  <si>
    <t>АКТИВ</t>
  </si>
  <si>
    <t>Запасы</t>
  </si>
  <si>
    <t>Дебиторская задолженность</t>
  </si>
  <si>
    <t>Формула</t>
  </si>
  <si>
    <t>1. ВНЕОБОРОТНЫЕ АКТИВЫ</t>
  </si>
  <si>
    <t>Нематериальные активы</t>
  </si>
  <si>
    <t>Доходные вложения в материальные ценности</t>
  </si>
  <si>
    <t>Финансовые вложения</t>
  </si>
  <si>
    <t>Отложенные налоговые активы</t>
  </si>
  <si>
    <t>Прочие внеоборотные активы</t>
  </si>
  <si>
    <t>Итого по разделу 1</t>
  </si>
  <si>
    <t>2. ОБОРОТНЫЕ АКТИВЫ</t>
  </si>
  <si>
    <t>НДС по приобретенным ценностям</t>
  </si>
  <si>
    <t>Финансовые вложения (за исключением денежных эквивалентов)</t>
  </si>
  <si>
    <t>Прочие оборотные активы</t>
  </si>
  <si>
    <t>Итого по разделу 2</t>
  </si>
  <si>
    <t>БАЛАНС</t>
  </si>
  <si>
    <t>ПАССИВ</t>
  </si>
  <si>
    <t>3. КАПИТАЛ И РЕЗЕРВЫ</t>
  </si>
  <si>
    <t>Собственные акции, выкупленные у акционеров</t>
  </si>
  <si>
    <t>Переоценка внеоборотных активов</t>
  </si>
  <si>
    <t>Добавочный капитал (без переоценки)</t>
  </si>
  <si>
    <t>Резервный капитал</t>
  </si>
  <si>
    <t>Нераспределенная прибыль (непокрытый убыток)</t>
  </si>
  <si>
    <t>4. ДОЛГОСРОЧНЫЕ ОБЯЗАТЕЛЬСТВА</t>
  </si>
  <si>
    <t>Заемные средства</t>
  </si>
  <si>
    <t>Отложенные налоговые обязательства</t>
  </si>
  <si>
    <t>Итого по разделу 3</t>
  </si>
  <si>
    <t>Итого по разделу 4</t>
  </si>
  <si>
    <t>5. КРАТКОСРОЧНЫЕ ОБЯЗАТЕЛЬСТВА</t>
  </si>
  <si>
    <t>Доходы будущих периодов</t>
  </si>
  <si>
    <t>Equity to Total Assets (EA)</t>
  </si>
  <si>
    <t>Собст. Капитал (СК) / Суммарные активы</t>
  </si>
  <si>
    <t>ОТЧЕТ ОФИНАНСОВЫХ РЕЗУЛЬТАТАХ</t>
  </si>
  <si>
    <t>наименование</t>
  </si>
  <si>
    <t>Выручка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</si>
  <si>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</si>
  <si>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</si>
  <si>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</si>
  <si>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</si>
  <si>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тысяч рублей</t>
  </si>
  <si>
    <t>Доходы от участия в других оргагизациях</t>
  </si>
  <si>
    <t>Проценты к получению</t>
  </si>
  <si>
    <t>Проценты к уплате</t>
  </si>
  <si>
    <t>Прочие доходы</t>
  </si>
  <si>
    <t>Прочие расходы</t>
  </si>
  <si>
    <t>Текущий налог на прибыль</t>
  </si>
  <si>
    <t>Прочее</t>
  </si>
  <si>
    <t>Чистая прибыль (убыток)</t>
  </si>
  <si>
    <t>2015 г.</t>
  </si>
  <si>
    <t>2015 г.2</t>
  </si>
  <si>
    <t>Оценочные обязательства</t>
  </si>
  <si>
    <t>Основные средства</t>
  </si>
  <si>
    <r>
      <t xml:space="preserve">ИНДЕКСНЫЙ АНАЛИЗ- </t>
    </r>
    <r>
      <rPr>
        <b/>
        <sz val="12"/>
        <color rgb="FFFF0000"/>
        <rFont val="Calibri"/>
        <family val="2"/>
        <charset val="204"/>
        <scheme val="minor"/>
      </rPr>
      <t>позволяет оценить динамику показателя</t>
    </r>
  </si>
  <si>
    <r>
      <t>СТРУКТУРНЫЙ АНАЛИЗ</t>
    </r>
    <r>
      <rPr>
        <b/>
        <sz val="12"/>
        <color rgb="FFFF0000"/>
        <rFont val="Calibri"/>
        <family val="2"/>
        <charset val="204"/>
        <scheme val="minor"/>
      </rPr>
      <t>-весовое значение элементов в каждом разделе баланса</t>
    </r>
  </si>
  <si>
    <t>Показатели финансовой структуры и долговой нагрузки компании</t>
  </si>
  <si>
    <r>
      <t>Себестоимость продаж</t>
    </r>
    <r>
      <rPr>
        <sz val="12"/>
        <color rgb="FFFF0000"/>
        <rFont val="Calibri"/>
        <family val="2"/>
        <charset val="204"/>
        <scheme val="minor"/>
      </rPr>
      <t>*</t>
    </r>
  </si>
  <si>
    <t>К-т автономии (концентрации собственного капитала в активах)</t>
  </si>
  <si>
    <t>Показатели структуры капитала</t>
  </si>
  <si>
    <t>Комменетарий</t>
  </si>
  <si>
    <t xml:space="preserve">Высокая доля собственных источников в активах компании. Высокая концентрация СК -выше 0,5- свидетельствует о высокой финансовой независимости компании. </t>
  </si>
  <si>
    <t>доля внеоборотных активов в совокупных активах компании, определяющая минимальное значение  коэффициента финансовой устойчивости</t>
  </si>
  <si>
    <t>ВОА/Активы</t>
  </si>
  <si>
    <t xml:space="preserve">Total Debt to Total Equity – </t>
  </si>
  <si>
    <t>Совокупные обязательства/собственный капитал</t>
  </si>
  <si>
    <t>Коэффициент финансирования   (заемное плечо компании)</t>
  </si>
  <si>
    <t>Значение показателя говорит о низком заемном плече: на 1 ед. СК приходится в среднем 0,4 ед. ЗК - высокая финансовая независимость, однако она ограничивает динамику роста активов и более высокий потенциал рентабельностим СК.</t>
  </si>
  <si>
    <t>Показатели долговой нагрузки</t>
  </si>
  <si>
    <t>* в т.ч. Амортизация в составе себестоимости</t>
  </si>
  <si>
    <t>Показатели собственного капитала,</t>
  </si>
  <si>
    <t>в т.ч.</t>
  </si>
  <si>
    <t>Превышение чистых активов  над уставным и резервным фондами</t>
  </si>
  <si>
    <t>(ЧА / (УК+РК))</t>
  </si>
  <si>
    <t xml:space="preserve">Нераспределенная прибыль и ее динамика </t>
  </si>
  <si>
    <r>
      <t xml:space="preserve">Чистые активы (стр. 1300+1530) и их динамика </t>
    </r>
    <r>
      <rPr>
        <sz val="11"/>
        <color rgb="FF000000"/>
        <rFont val="Helvetica"/>
        <family val="2"/>
      </rPr>
      <t xml:space="preserve"> </t>
    </r>
  </si>
  <si>
    <t xml:space="preserve">Показатели заемного капитала </t>
  </si>
  <si>
    <t>Заемные средства (Debt)</t>
  </si>
  <si>
    <t>(стр. 1410 и 1510) и их динамика</t>
  </si>
  <si>
    <t>Доля заемных средств в совокупных обязательствах</t>
  </si>
  <si>
    <t>(стр. 1410+1510) / (стр. 1400+1500 -1530)</t>
  </si>
  <si>
    <t>динамика</t>
  </si>
  <si>
    <t>Коэффициент текущей ликвидности -проверка соотношения активов и пассивов по срочности</t>
  </si>
  <si>
    <t>Liquidity Current Ratio</t>
  </si>
  <si>
    <t>CR = Оборотные активы (ОА) (текущие) / Краткосрочные обязательства (КО) (текущие пассивы)</t>
  </si>
  <si>
    <t>Достаточность текущих активов для погашения краткосрочной задолженности</t>
  </si>
  <si>
    <t>Итого по разделу 5</t>
  </si>
  <si>
    <t>Чистый оборотный капитал NWC</t>
  </si>
  <si>
    <t>Net Working Capital =стр. 1200 - стр. 1500</t>
  </si>
  <si>
    <t>Показатель покрытия долга (Debt) по EBITDA</t>
  </si>
  <si>
    <t>среднее значение за отч. период по строкам баланса 1410 и 1510</t>
  </si>
  <si>
    <t xml:space="preserve">Средняя величина кредитного долга (Debt) </t>
  </si>
  <si>
    <t xml:space="preserve">Показатель EBITDA </t>
  </si>
  <si>
    <t xml:space="preserve">Стр. 2300+ стр. 2330-стр. 2320 
+ амортизация 
(выделена отдельно в ф.№ 2 или в ф№5)= 
</t>
  </si>
  <si>
    <t xml:space="preserve">Стр. 2300+ стр. 2330-стр. 2320 
</t>
  </si>
  <si>
    <t>Показатель EBIT</t>
  </si>
  <si>
    <t>Показатель покрытия процентов ( interest coverage ratio):</t>
  </si>
  <si>
    <t xml:space="preserve">EBIT/ interest </t>
  </si>
  <si>
    <t>Прибыль (убыток) до налогообложения</t>
  </si>
  <si>
    <t>Предельное значение - не более 3- незначительная долговая нагрузка -кредитный потенциал используется незначительно</t>
  </si>
  <si>
    <t>Выше 1-1,5- компания имеет значительный запас прочности по обслуживанию своего долга</t>
  </si>
  <si>
    <t>Кредиторская задолженность</t>
  </si>
  <si>
    <t>Кредиторская задолженность (стр. 1520)</t>
  </si>
  <si>
    <t>Доля кредиторской задолженности в совокупных обязательствах</t>
  </si>
  <si>
    <t>ТАБЛИЦА 3. ОТЧЕТ О ДВИЖЕНИИ ДЕНЕЖНЫХ СРЕДСТВ, тыс. руб.</t>
  </si>
  <si>
    <t>Виды финансовых потоков</t>
  </si>
  <si>
    <t>Абсолютное отклонение</t>
  </si>
  <si>
    <t>ПОКАЗАТЕЛИ ДЕНЕЖНОГО ПОТОКА КОМПАНИИИ</t>
  </si>
  <si>
    <t>Свободный денежный поток фирмы (FCFF - free cash flow to the firm )</t>
  </si>
  <si>
    <t>I. ДЕНЕЖНЫЕ ПОТОКИ ОТ ТЕКУЩИХ ОПЕРАЦИЙ</t>
  </si>
  <si>
    <t xml:space="preserve">Поступления </t>
  </si>
  <si>
    <t>Свободный денежный поток для выплат собственникам (FCFE)</t>
  </si>
  <si>
    <t>от продажи продукции, товаров, работ и услуг</t>
  </si>
  <si>
    <t>арендные платежи</t>
  </si>
  <si>
    <t xml:space="preserve">Излишек (+)/дефицит (-) FCFE для выплат дивидендов  без рефинансирования </t>
  </si>
  <si>
    <t>от перепродажи фин.вложений</t>
  </si>
  <si>
    <t>поступления по договорам по совместной деятельности</t>
  </si>
  <si>
    <t>Платежеспособность ДП</t>
  </si>
  <si>
    <t>прочие</t>
  </si>
  <si>
    <t>Денежное (монетарное) содержание продаж</t>
  </si>
  <si>
    <t>Денежное (монетарное) покрытие чистой прибыли</t>
  </si>
  <si>
    <t>Платежи</t>
  </si>
  <si>
    <t>Коэффициент денежного покрытия долга</t>
  </si>
  <si>
    <t>поставщикам за сырье/материалы/услуги</t>
  </si>
  <si>
    <t>оплата труда работников</t>
  </si>
  <si>
    <t>Коэффициент денежного покрытия процентов</t>
  </si>
  <si>
    <t>проценты по долговым обязательствам</t>
  </si>
  <si>
    <t>прочие платежи</t>
  </si>
  <si>
    <t>САЛЬДО ДЕНЕЖНЫХ ПОТОКОВ ОТ ТЕКУЩИХ ОПЕРАЦИЙ</t>
  </si>
  <si>
    <t>II. ДЕНЕЖНЫЕ ПОТОКИ ОТ ИНВЕСТИЦИОННЫХ ОПЕРАЦИЙ</t>
  </si>
  <si>
    <t>от продажи внеоборотных активов</t>
  </si>
  <si>
    <t>от возврата предоставленных займов</t>
  </si>
  <si>
    <t>от дивидендов, процентов по долговым финансовым вложениям</t>
  </si>
  <si>
    <t>в связи с приобретением/созданием, модернизацией  внеоборотных активов</t>
  </si>
  <si>
    <t>в связи с приобретением аций других организаций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</si>
  <si>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</si>
  <si>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САЛЬДО ДЕНЕЖНЫХ ПОТОКОВ ОТ ИНВЕСТИЦИОННЫХ ОПЕРАЦИЙ</t>
  </si>
  <si>
    <t>III. ДЕНЕЖНЫЕ ПОТОКИ ОТ ФИНАНСОВЫХ ОПЕРАЦИЙ</t>
  </si>
  <si>
    <t>Поступления</t>
  </si>
  <si>
    <t>поступления кредитов и займов</t>
  </si>
  <si>
    <t>от выпуска облигаций, векселей и других долговых ценных бумаг и др.</t>
  </si>
  <si>
    <t>прочие поступления</t>
  </si>
  <si>
    <t>собственникам (участникам) в связи с выкупом у них акций (долей участия) организации или их выходом из состава участников</t>
  </si>
  <si>
    <t xml:space="preserve">на уплату дивидендов и иных платежей по распределению
прибыли в пользу собственников (участников)
</t>
  </si>
  <si>
    <t>в связи с погашением (выкупом) векселей и других долговых ценных бумаг, возврат кредитов и займов</t>
  </si>
  <si>
    <t>САЛЬДО ДЕНЕЖНЫХ ПОТОКОВ ОТ ФИНАНСОВЫХ ОПЕРАЦИЙ</t>
  </si>
  <si>
    <t>САЛЬДО ДП ЗА ОТЧ. ПЕРИОД (ЧИСТЫЙ ДЕНЕЖНЫЙ ПОТОК)</t>
  </si>
  <si>
    <t>Остаток денежных средств на начало отчетного периода</t>
  </si>
  <si>
    <t>курсовые разницы</t>
  </si>
  <si>
    <t>Отчетный период</t>
  </si>
  <si>
    <t>Показатели целевой структры капитала компании</t>
  </si>
  <si>
    <t>денежные вклады собственников, участников</t>
  </si>
  <si>
    <t>от выпуска акций, увеличение долей участия</t>
  </si>
  <si>
    <t xml:space="preserve">Излишек (+)/дефицит (-) свободного потока на собственников для выплат дивидендов  </t>
  </si>
  <si>
    <t xml:space="preserve">Достаточность (излишек (+)/ дефицит (-)) свободного потока (FCFF) для выплат кредиторам </t>
  </si>
  <si>
    <t xml:space="preserve">Показывает наличие у компании свободных денежных средств для выплат кредиторам и собственникам в отч. периоде </t>
  </si>
  <si>
    <t>Показывает наличие денежных средств для выплат дивидендов собственникам без учета поступлений по финансовой деятельности, т.е. без учета поступлений кредитов и займов</t>
  </si>
  <si>
    <t xml:space="preserve">Показывает наличие денежных средств для выплат дивидендов и проч. Выплат собственникам в отч. периоде </t>
  </si>
  <si>
    <t>Показывает остаток денежных средств после выплаченных дивидендов. Отражает возможности выплат дополнительных дивидендов или доп.инвестиций</t>
  </si>
  <si>
    <t>Отражает достаточность денежных средств только для погашения выплат кредиторам</t>
  </si>
  <si>
    <t>налог на прибыль организаций</t>
  </si>
  <si>
    <t>от продажи акций других организаций</t>
  </si>
  <si>
    <t>Изменение отложенных налоговых автивов</t>
  </si>
  <si>
    <t>Изменения отложенных налоговых обяз-в</t>
  </si>
  <si>
    <t>Денежные средства и их эквиваленты</t>
  </si>
  <si>
    <t>Уставный капитал</t>
  </si>
  <si>
    <t>Прочие обязательства</t>
  </si>
  <si>
    <t>в т.ч. Постоянные налоговые обязательства</t>
  </si>
  <si>
    <t>Остаток денежных средств на конец отчетного периода</t>
  </si>
  <si>
    <t>2016 г.</t>
  </si>
  <si>
    <t>2017 г.</t>
  </si>
  <si>
    <t>БАЛАНСЫ на 31.12. в 2017г и 2016г и 2015 г, тыс. руб.</t>
  </si>
  <si>
    <t>Изменения 2017 к 2015</t>
  </si>
  <si>
    <t>Изменения 2016 к 2015</t>
  </si>
  <si>
    <t>База 2015 г.</t>
  </si>
  <si>
    <t>2017 г.2</t>
  </si>
  <si>
    <t>2016 г.2</t>
  </si>
  <si>
    <t>2016-2017</t>
  </si>
  <si>
    <t>наименование показателей</t>
  </si>
  <si>
    <t>Оборачиваемость активов</t>
  </si>
  <si>
    <t>в т.ч. в днях</t>
  </si>
  <si>
    <t>Оборачиваемость основных (внеоборотных) активов</t>
  </si>
  <si>
    <t>Оборачиваемость оборотных (текущих) активов</t>
  </si>
  <si>
    <t>Оборачиваемость запасов</t>
  </si>
  <si>
    <t>Оборачиваемость дебиторской задолженности</t>
  </si>
  <si>
    <t>Оборачиваемость кредиторской задолженности</t>
  </si>
  <si>
    <t>РЕНТАБЕЛЬНОСТЬ</t>
  </si>
  <si>
    <t xml:space="preserve">РЕНТАБЕЛЬНОСТЬ продаж по прибыли от продаж </t>
  </si>
  <si>
    <t>РЕНТАБЕЛЬНОСТЬ активов (по EBIT)</t>
  </si>
  <si>
    <t>РЕНТАБЕЛЬНОСТЬ собственного капитала</t>
  </si>
  <si>
    <t>Финансовый цикл</t>
  </si>
  <si>
    <t>Коэффициент денежной ликвидности</t>
  </si>
  <si>
    <t>Коэффициент денежной рентабельности продаж</t>
  </si>
  <si>
    <t>Коэффициент денежной рентабельности активов</t>
  </si>
  <si>
    <t>Коэффициент денежной рентабельности собственного капитала</t>
  </si>
  <si>
    <r>
      <t>Соотношение дебиторской и кредиторской задолженности</t>
    </r>
    <r>
      <rPr>
        <sz val="16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стр. 1230 / стр. 1520</t>
    </r>
  </si>
  <si>
    <t>В отчетном периоде соотнлошение между ДЗ и КЗ снизилось. Давление на ликвидноть компании</t>
  </si>
  <si>
    <t xml:space="preserve">Коэффициент покрытия инвестиций  (стр. 1300+стр.1400) / 
стр. 1100
</t>
  </si>
  <si>
    <t>Long-term debt and Equity to fix.assets</t>
  </si>
  <si>
    <t>(СК + ДО) / ВОА</t>
  </si>
  <si>
    <t>Значениедолгосрочных исчтоников устойчиво превышает размер ВОА, хотя и емеет тенденцию к снижению - выполение критерия текущей ликвидности; достаточная обеспеченность долгосрочными пассивами</t>
  </si>
  <si>
    <t xml:space="preserve">Коэффициент обеспеченности собственными оборотными средствами (стр.1300-стр.1100) / стр. 1200   
</t>
  </si>
  <si>
    <t>Чем выше значение, тем выше обеспеченность оборотных активов постоянным финансированием. В 2015 г. Отрицательное значение показателя говорит о том, что все оборотные активы финансируются за счет обязательств.</t>
  </si>
  <si>
    <t>Собственный оборотный капитал/ Оборотные активы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</si>
</sst>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0\ _₽_-;\-* #,##0.000\ _₽_-;_-* &quot;-&quot;??\ _₽_-;_-@_-"/>
    <numFmt numFmtId="166" formatCode="0.0%"/>
    <numFmt numFmtId="167" formatCode="_-* #,##0.00\ _р_у_б_._-;\-* #,##0.00\ _р_у_б_._-;_-* &quot;-&quot;??\ _р_у_б_._-;_-@_-"/>
    <numFmt numFmtId="168" formatCode="_-* #,##0_р_._-;\-* #,##0_р_._-;_-* &quot;-&quot;??_р_._-;_-@_-"/>
  </numFmts>
  <fonts count="46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b/>
      <sz val="10"/>
      <name val="Calibri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602B"/>
      <name val="Times New Roman"/>
      <family val="1"/>
      <charset val="204"/>
    </font>
    <font>
      <sz val="11"/>
      <color rgb="FF000000"/>
      <name val="Helvetica"/>
      <family val="2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C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9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auto="1"/>
      </bottom>
      <diagonal/>
    </border>
    <border>
      <left style="mediumDashed">
        <color rgb="FF000000"/>
      </left>
      <right style="mediumDashed">
        <color rgb="FF000000"/>
      </right>
      <top style="mediumDashed">
        <color rgb="FF000000"/>
      </top>
      <bottom style="mediumDash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38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79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wrapText="1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164" fontId="10" fillId="0" borderId="0" xfId="1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0" fillId="0" borderId="0" xfId="0"/>
    <xf numFmtId="0" fontId="0" fillId="0" borderId="0" xfId="0"/>
    <xf numFmtId="0" fontId="0" fillId="8" borderId="1" xfId="0" applyFill="1" applyBorder="1" applyAlignment="1">
      <alignment vertical="center" wrapText="1"/>
    </xf>
    <xf numFmtId="3" fontId="10" fillId="0" borderId="0" xfId="0" applyNumberFormat="1" applyFont="1" applyFill="1" applyAlignment="1">
      <alignment vertical="center" wrapText="1"/>
    </xf>
    <xf numFmtId="0" fontId="0" fillId="9" borderId="1" xfId="0" applyFill="1" applyBorder="1" applyAlignment="1">
      <alignment vertical="center" wrapText="1"/>
    </xf>
    <xf numFmtId="43" fontId="0" fillId="9" borderId="1" xfId="0" applyNumberForma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64" fontId="13" fillId="9" borderId="1" xfId="0" applyNumberFormat="1" applyFont="1" applyFill="1" applyBorder="1" applyAlignment="1">
      <alignment vertical="center"/>
    </xf>
    <xf numFmtId="165" fontId="13" fillId="9" borderId="1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5" fillId="0" borderId="0" xfId="0" applyFont="1"/>
    <xf numFmtId="0" fontId="0" fillId="0" borderId="1" xfId="0" applyBorder="1" applyAlignment="1">
      <alignment wrapText="1"/>
    </xf>
    <xf numFmtId="0" fontId="0" fillId="0" borderId="0" xfId="0" applyFill="1"/>
    <xf numFmtId="164" fontId="10" fillId="0" borderId="0" xfId="1" applyNumberFormat="1" applyFont="1" applyFill="1"/>
    <xf numFmtId="164" fontId="0" fillId="0" borderId="0" xfId="0" applyNumberFormat="1" applyFill="1"/>
    <xf numFmtId="2" fontId="0" fillId="0" borderId="0" xfId="0" applyNumberFormat="1" applyFont="1" applyFill="1"/>
    <xf numFmtId="2" fontId="10" fillId="0" borderId="0" xfId="0" applyNumberFormat="1" applyFont="1" applyFill="1"/>
    <xf numFmtId="164" fontId="10" fillId="0" borderId="0" xfId="0" applyNumberFormat="1" applyFont="1" applyFill="1"/>
    <xf numFmtId="0" fontId="0" fillId="0" borderId="0" xfId="0" applyFill="1" applyAlignment="1">
      <alignment wrapText="1"/>
    </xf>
    <xf numFmtId="3" fontId="10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166" fontId="0" fillId="7" borderId="1" xfId="38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38" applyFont="1" applyAlignment="1">
      <alignment horizontal="center"/>
    </xf>
    <xf numFmtId="9" fontId="10" fillId="0" borderId="0" xfId="38" applyFont="1" applyAlignment="1">
      <alignment horizontal="center" wrapText="1"/>
    </xf>
    <xf numFmtId="9" fontId="10" fillId="0" borderId="0" xfId="38" applyFont="1" applyAlignment="1">
      <alignment horizontal="center"/>
    </xf>
    <xf numFmtId="9" fontId="8" fillId="11" borderId="5" xfId="38" applyFont="1" applyFill="1" applyBorder="1" applyAlignment="1">
      <alignment horizontal="center" wrapText="1"/>
    </xf>
    <xf numFmtId="9" fontId="0" fillId="11" borderId="0" xfId="38" applyFont="1" applyFill="1" applyBorder="1" applyAlignment="1">
      <alignment horizontal="center"/>
    </xf>
    <xf numFmtId="9" fontId="0" fillId="11" borderId="6" xfId="38" applyFont="1" applyFill="1" applyBorder="1" applyAlignment="1">
      <alignment horizontal="center"/>
    </xf>
    <xf numFmtId="9" fontId="10" fillId="11" borderId="5" xfId="38" applyFont="1" applyFill="1" applyBorder="1" applyAlignment="1">
      <alignment horizontal="center" wrapText="1"/>
    </xf>
    <xf numFmtId="9" fontId="10" fillId="11" borderId="0" xfId="38" applyFont="1" applyFill="1" applyBorder="1" applyAlignment="1">
      <alignment horizontal="center"/>
    </xf>
    <xf numFmtId="9" fontId="16" fillId="11" borderId="5" xfId="38" applyFont="1" applyFill="1" applyBorder="1" applyAlignment="1">
      <alignment horizontal="center" wrapText="1"/>
    </xf>
    <xf numFmtId="9" fontId="16" fillId="11" borderId="0" xfId="38" applyFont="1" applyFill="1" applyBorder="1" applyAlignment="1">
      <alignment horizontal="center"/>
    </xf>
    <xf numFmtId="9" fontId="16" fillId="11" borderId="6" xfId="38" applyFont="1" applyFill="1" applyBorder="1" applyAlignment="1">
      <alignment horizontal="center"/>
    </xf>
    <xf numFmtId="9" fontId="17" fillId="11" borderId="5" xfId="38" applyFont="1" applyFill="1" applyBorder="1" applyAlignment="1">
      <alignment horizontal="center" wrapText="1"/>
    </xf>
    <xf numFmtId="9" fontId="17" fillId="11" borderId="0" xfId="38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 wrapText="1"/>
    </xf>
    <xf numFmtId="164" fontId="16" fillId="11" borderId="0" xfId="1" applyNumberFormat="1" applyFont="1" applyFill="1" applyBorder="1" applyAlignment="1">
      <alignment horizontal="center"/>
    </xf>
    <xf numFmtId="0" fontId="17" fillId="0" borderId="8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6" fillId="0" borderId="5" xfId="0" applyFont="1" applyBorder="1" applyAlignment="1">
      <alignment wrapText="1"/>
    </xf>
    <xf numFmtId="3" fontId="16" fillId="0" borderId="0" xfId="1" applyNumberFormat="1" applyFont="1" applyBorder="1" applyAlignment="1"/>
    <xf numFmtId="3" fontId="16" fillId="0" borderId="0" xfId="0" applyNumberFormat="1" applyFont="1" applyBorder="1" applyAlignment="1">
      <alignment vertical="center" wrapText="1"/>
    </xf>
    <xf numFmtId="9" fontId="16" fillId="4" borderId="0" xfId="38" applyNumberFormat="1" applyFont="1" applyFill="1" applyBorder="1" applyAlignment="1">
      <alignment horizontal="center"/>
    </xf>
    <xf numFmtId="9" fontId="16" fillId="4" borderId="6" xfId="38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vertical="center" wrapText="1"/>
    </xf>
    <xf numFmtId="0" fontId="17" fillId="0" borderId="5" xfId="0" applyFont="1" applyFill="1" applyBorder="1" applyAlignment="1">
      <alignment wrapText="1"/>
    </xf>
    <xf numFmtId="3" fontId="16" fillId="0" borderId="0" xfId="1" applyNumberFormat="1" applyFont="1" applyFill="1" applyBorder="1" applyAlignment="1"/>
    <xf numFmtId="3" fontId="16" fillId="0" borderId="0" xfId="0" applyNumberFormat="1" applyFont="1" applyFill="1" applyBorder="1" applyAlignment="1">
      <alignment vertical="center" wrapText="1"/>
    </xf>
    <xf numFmtId="164" fontId="16" fillId="4" borderId="0" xfId="1" applyNumberFormat="1" applyFont="1" applyFill="1" applyBorder="1" applyAlignment="1">
      <alignment horizontal="center"/>
    </xf>
    <xf numFmtId="164" fontId="16" fillId="4" borderId="6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wrapText="1"/>
    </xf>
    <xf numFmtId="9" fontId="16" fillId="4" borderId="0" xfId="38" applyFont="1" applyFill="1" applyBorder="1" applyAlignment="1">
      <alignment horizontal="center"/>
    </xf>
    <xf numFmtId="9" fontId="16" fillId="4" borderId="6" xfId="38" applyFont="1" applyFill="1" applyBorder="1" applyAlignment="1">
      <alignment horizontal="center"/>
    </xf>
    <xf numFmtId="3" fontId="17" fillId="0" borderId="0" xfId="1" applyNumberFormat="1" applyFont="1" applyFill="1" applyBorder="1" applyAlignment="1"/>
    <xf numFmtId="3" fontId="17" fillId="0" borderId="0" xfId="0" applyNumberFormat="1" applyFont="1" applyFill="1" applyBorder="1" applyAlignment="1">
      <alignment wrapText="1"/>
    </xf>
    <xf numFmtId="0" fontId="17" fillId="0" borderId="10" xfId="0" applyFont="1" applyFill="1" applyBorder="1" applyAlignment="1">
      <alignment wrapText="1"/>
    </xf>
    <xf numFmtId="3" fontId="17" fillId="0" borderId="11" xfId="0" applyNumberFormat="1" applyFont="1" applyFill="1" applyBorder="1" applyAlignment="1">
      <alignment vertical="center" wrapText="1"/>
    </xf>
    <xf numFmtId="9" fontId="17" fillId="11" borderId="10" xfId="38" applyFont="1" applyFill="1" applyBorder="1" applyAlignment="1">
      <alignment horizontal="center" wrapText="1"/>
    </xf>
    <xf numFmtId="9" fontId="17" fillId="11" borderId="11" xfId="38" applyFont="1" applyFill="1" applyBorder="1" applyAlignment="1">
      <alignment horizontal="center"/>
    </xf>
    <xf numFmtId="9" fontId="16" fillId="11" borderId="12" xfId="38" applyFont="1" applyFill="1" applyBorder="1" applyAlignment="1">
      <alignment horizontal="center"/>
    </xf>
    <xf numFmtId="9" fontId="17" fillId="4" borderId="11" xfId="38" applyFont="1" applyFill="1" applyBorder="1" applyAlignment="1">
      <alignment horizontal="center"/>
    </xf>
    <xf numFmtId="9" fontId="17" fillId="4" borderId="12" xfId="38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 wrapText="1"/>
    </xf>
    <xf numFmtId="0" fontId="19" fillId="11" borderId="3" xfId="0" applyFont="1" applyFill="1" applyBorder="1" applyAlignment="1">
      <alignment horizontal="center" wrapText="1"/>
    </xf>
    <xf numFmtId="0" fontId="19" fillId="11" borderId="4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wrapText="1"/>
    </xf>
    <xf numFmtId="0" fontId="17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0" xfId="1" applyNumberFormat="1" applyFont="1" applyBorder="1" applyAlignment="1"/>
    <xf numFmtId="3" fontId="0" fillId="0" borderId="0" xfId="0" applyNumberFormat="1" applyBorder="1" applyAlignment="1">
      <alignment vertical="center" wrapText="1"/>
    </xf>
    <xf numFmtId="0" fontId="0" fillId="0" borderId="16" xfId="0" applyFont="1" applyBorder="1" applyAlignment="1">
      <alignment wrapText="1"/>
    </xf>
    <xf numFmtId="3" fontId="8" fillId="0" borderId="0" xfId="1" applyNumberFormat="1" applyFont="1" applyBorder="1" applyAlignment="1"/>
    <xf numFmtId="3" fontId="0" fillId="0" borderId="0" xfId="0" applyNumberFormat="1" applyFont="1" applyBorder="1" applyAlignment="1">
      <alignment vertical="center" wrapText="1"/>
    </xf>
    <xf numFmtId="0" fontId="10" fillId="0" borderId="16" xfId="0" applyFont="1" applyFill="1" applyBorder="1" applyAlignment="1">
      <alignment wrapText="1"/>
    </xf>
    <xf numFmtId="3" fontId="10" fillId="0" borderId="0" xfId="1" applyNumberFormat="1" applyFont="1" applyFill="1" applyBorder="1" applyAlignment="1"/>
    <xf numFmtId="3" fontId="10" fillId="0" borderId="0" xfId="0" applyNumberFormat="1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164" fontId="10" fillId="0" borderId="0" xfId="1" applyNumberFormat="1" applyFont="1" applyBorder="1" applyAlignment="1">
      <alignment horizontal="center"/>
    </xf>
    <xf numFmtId="164" fontId="10" fillId="0" borderId="0" xfId="1" applyNumberFormat="1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wrapText="1"/>
    </xf>
    <xf numFmtId="3" fontId="10" fillId="0" borderId="19" xfId="0" applyNumberFormat="1" applyFont="1" applyFill="1" applyBorder="1" applyAlignment="1">
      <alignment vertical="center" wrapText="1"/>
    </xf>
    <xf numFmtId="9" fontId="0" fillId="4" borderId="0" xfId="38" applyFont="1" applyFill="1" applyBorder="1" applyAlignment="1">
      <alignment horizontal="center"/>
    </xf>
    <xf numFmtId="9" fontId="0" fillId="4" borderId="17" xfId="38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9" fontId="10" fillId="4" borderId="19" xfId="38" applyFont="1" applyFill="1" applyBorder="1" applyAlignment="1">
      <alignment horizontal="center"/>
    </xf>
    <xf numFmtId="9" fontId="10" fillId="4" borderId="20" xfId="38" applyFont="1" applyFill="1" applyBorder="1" applyAlignment="1">
      <alignment horizontal="center"/>
    </xf>
    <xf numFmtId="0" fontId="0" fillId="11" borderId="5" xfId="0" applyFill="1" applyBorder="1" applyAlignment="1">
      <alignment horizontal="center" wrapText="1"/>
    </xf>
    <xf numFmtId="0" fontId="0" fillId="11" borderId="0" xfId="0" applyFill="1" applyBorder="1" applyAlignment="1">
      <alignment horizontal="center"/>
    </xf>
    <xf numFmtId="9" fontId="10" fillId="11" borderId="21" xfId="38" applyFont="1" applyFill="1" applyBorder="1" applyAlignment="1">
      <alignment horizontal="center" wrapText="1"/>
    </xf>
    <xf numFmtId="9" fontId="10" fillId="11" borderId="19" xfId="38" applyFont="1" applyFill="1" applyBorder="1" applyAlignment="1">
      <alignment horizontal="center"/>
    </xf>
    <xf numFmtId="9" fontId="0" fillId="11" borderId="22" xfId="38" applyFont="1" applyFill="1" applyBorder="1" applyAlignment="1">
      <alignment horizont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2" fontId="0" fillId="9" borderId="1" xfId="0" applyNumberForma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wrapText="1"/>
    </xf>
    <xf numFmtId="2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164" fontId="0" fillId="9" borderId="1" xfId="1" applyNumberFormat="1" applyFont="1" applyFill="1" applyBorder="1" applyAlignment="1">
      <alignment wrapText="1"/>
    </xf>
    <xf numFmtId="2" fontId="13" fillId="9" borderId="1" xfId="0" applyNumberFormat="1" applyFont="1" applyFill="1" applyBorder="1" applyAlignment="1">
      <alignment horizontal="center" wrapText="1"/>
    </xf>
    <xf numFmtId="0" fontId="13" fillId="9" borderId="1" xfId="0" applyFont="1" applyFill="1" applyBorder="1" applyAlignment="1">
      <alignment wrapText="1"/>
    </xf>
    <xf numFmtId="164" fontId="13" fillId="9" borderId="1" xfId="1" applyNumberFormat="1" applyFont="1" applyFill="1" applyBorder="1" applyAlignment="1">
      <alignment wrapText="1"/>
    </xf>
    <xf numFmtId="2" fontId="13" fillId="9" borderId="1" xfId="0" applyNumberFormat="1" applyFont="1" applyFill="1" applyBorder="1" applyAlignment="1">
      <alignment horizontal="center" vertical="center" wrapText="1"/>
    </xf>
    <xf numFmtId="2" fontId="13" fillId="9" borderId="1" xfId="0" applyNumberFormat="1" applyFont="1" applyFill="1" applyBorder="1" applyAlignment="1">
      <alignment horizontal="center"/>
    </xf>
    <xf numFmtId="0" fontId="21" fillId="9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2" borderId="1" xfId="1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13" fillId="0" borderId="0" xfId="0" applyFont="1" applyAlignment="1">
      <alignment wrapText="1"/>
    </xf>
    <xf numFmtId="0" fontId="25" fillId="12" borderId="27" xfId="0" applyFont="1" applyFill="1" applyBorder="1" applyAlignment="1">
      <alignment horizontal="justify" vertical="top" wrapText="1" readingOrder="1"/>
    </xf>
    <xf numFmtId="0" fontId="25" fillId="12" borderId="28" xfId="0" applyFont="1" applyFill="1" applyBorder="1" applyAlignment="1">
      <alignment horizontal="justify" vertical="top" wrapText="1" readingOrder="1"/>
    </xf>
    <xf numFmtId="0" fontId="5" fillId="12" borderId="28" xfId="0" applyFont="1" applyFill="1" applyBorder="1" applyAlignment="1">
      <alignment horizontal="justify" vertical="top" wrapText="1"/>
    </xf>
    <xf numFmtId="0" fontId="24" fillId="12" borderId="25" xfId="0" applyFont="1" applyFill="1" applyBorder="1" applyAlignment="1">
      <alignment horizontal="left" vertical="center" wrapText="1" readingOrder="1"/>
    </xf>
    <xf numFmtId="0" fontId="24" fillId="12" borderId="26" xfId="0" applyFont="1" applyFill="1" applyBorder="1" applyAlignment="1">
      <alignment horizontal="left" vertical="center" wrapText="1" readingOrder="1"/>
    </xf>
    <xf numFmtId="43" fontId="0" fillId="9" borderId="4" xfId="0" applyNumberFormat="1" applyFill="1" applyBorder="1" applyAlignment="1">
      <alignment vertical="center"/>
    </xf>
    <xf numFmtId="43" fontId="0" fillId="8" borderId="4" xfId="0" applyNumberFormat="1" applyFill="1" applyBorder="1" applyAlignment="1">
      <alignment vertical="center"/>
    </xf>
    <xf numFmtId="43" fontId="0" fillId="6" borderId="4" xfId="0" applyNumberFormat="1" applyFill="1" applyBorder="1" applyAlignment="1">
      <alignment vertical="center"/>
    </xf>
    <xf numFmtId="43" fontId="0" fillId="4" borderId="4" xfId="0" applyNumberFormat="1" applyFill="1" applyBorder="1" applyAlignment="1">
      <alignment vertical="center"/>
    </xf>
    <xf numFmtId="164" fontId="0" fillId="4" borderId="4" xfId="0" applyNumberFormat="1" applyFill="1" applyBorder="1" applyAlignment="1">
      <alignment vertical="center"/>
    </xf>
    <xf numFmtId="0" fontId="14" fillId="0" borderId="29" xfId="0" applyFont="1" applyBorder="1" applyAlignment="1">
      <alignment horizontal="center"/>
    </xf>
    <xf numFmtId="3" fontId="27" fillId="12" borderId="1" xfId="0" applyNumberFormat="1" applyFont="1" applyFill="1" applyBorder="1" applyAlignment="1">
      <alignment horizontal="center" vertical="center" wrapText="1" readingOrder="1"/>
    </xf>
    <xf numFmtId="9" fontId="27" fillId="12" borderId="1" xfId="0" applyNumberFormat="1" applyFont="1" applyFill="1" applyBorder="1" applyAlignment="1">
      <alignment horizontal="center" vertical="center" wrapText="1" readingOrder="1"/>
    </xf>
    <xf numFmtId="9" fontId="29" fillId="12" borderId="1" xfId="0" applyNumberFormat="1" applyFont="1" applyFill="1" applyBorder="1" applyAlignment="1">
      <alignment horizontal="center" vertical="center" wrapText="1" readingOrder="1"/>
    </xf>
    <xf numFmtId="2" fontId="28" fillId="12" borderId="1" xfId="0" applyNumberFormat="1" applyFont="1" applyFill="1" applyBorder="1" applyAlignment="1">
      <alignment horizontal="center" vertical="center" wrapText="1" readingOrder="1"/>
    </xf>
    <xf numFmtId="2" fontId="29" fillId="12" borderId="1" xfId="0" applyNumberFormat="1" applyFont="1" applyFill="1" applyBorder="1" applyAlignment="1">
      <alignment horizontal="center" vertical="center" wrapText="1" readingOrder="1"/>
    </xf>
    <xf numFmtId="2" fontId="30" fillId="12" borderId="1" xfId="0" applyNumberFormat="1" applyFont="1" applyFill="1" applyBorder="1" applyAlignment="1">
      <alignment horizontal="center" vertical="center" wrapText="1" readingOrder="1"/>
    </xf>
    <xf numFmtId="2" fontId="24" fillId="13" borderId="1" xfId="0" applyNumberFormat="1" applyFont="1" applyFill="1" applyBorder="1" applyAlignment="1">
      <alignment horizontal="center" vertical="center" wrapText="1" readingOrder="1"/>
    </xf>
    <xf numFmtId="1" fontId="29" fillId="12" borderId="1" xfId="0" applyNumberFormat="1" applyFont="1" applyFill="1" applyBorder="1" applyAlignment="1">
      <alignment horizontal="center" vertical="center" wrapText="1" readingOrder="1"/>
    </xf>
    <xf numFmtId="1" fontId="24" fillId="13" borderId="1" xfId="0" applyNumberFormat="1" applyFont="1" applyFill="1" applyBorder="1" applyAlignment="1">
      <alignment horizontal="center" vertical="center" wrapText="1" readingOrder="1"/>
    </xf>
    <xf numFmtId="9" fontId="24" fillId="13" borderId="1" xfId="38" applyFont="1" applyFill="1" applyBorder="1" applyAlignment="1">
      <alignment horizontal="center" vertical="center" wrapText="1" readingOrder="1"/>
    </xf>
    <xf numFmtId="0" fontId="10" fillId="5" borderId="31" xfId="0" applyFont="1" applyFill="1" applyBorder="1" applyAlignment="1">
      <alignment horizontal="left" vertical="center" wrapText="1"/>
    </xf>
    <xf numFmtId="0" fontId="0" fillId="8" borderId="30" xfId="0" applyFill="1" applyBorder="1" applyAlignment="1">
      <alignment vertical="center" wrapText="1"/>
    </xf>
    <xf numFmtId="43" fontId="13" fillId="8" borderId="4" xfId="0" applyNumberFormat="1" applyFont="1" applyFill="1" applyBorder="1" applyAlignment="1">
      <alignment vertical="center"/>
    </xf>
    <xf numFmtId="9" fontId="0" fillId="15" borderId="1" xfId="38" applyFont="1" applyFill="1" applyBorder="1" applyAlignment="1">
      <alignment vertical="center" wrapText="1"/>
    </xf>
    <xf numFmtId="9" fontId="8" fillId="15" borderId="1" xfId="38" applyFont="1" applyFill="1" applyBorder="1" applyAlignment="1">
      <alignment horizontal="center"/>
    </xf>
    <xf numFmtId="0" fontId="0" fillId="15" borderId="1" xfId="0" applyFill="1" applyBorder="1" applyAlignment="1">
      <alignment wrapText="1"/>
    </xf>
    <xf numFmtId="164" fontId="7" fillId="17" borderId="1" xfId="1" applyNumberFormat="1" applyFont="1" applyFill="1" applyBorder="1" applyAlignment="1">
      <alignment horizontal="right" vertical="center" wrapText="1"/>
    </xf>
    <xf numFmtId="0" fontId="0" fillId="17" borderId="1" xfId="0" applyFill="1" applyBorder="1" applyAlignment="1">
      <alignment wrapText="1"/>
    </xf>
    <xf numFmtId="164" fontId="7" fillId="17" borderId="1" xfId="1" applyNumberFormat="1" applyFont="1" applyFill="1" applyBorder="1" applyAlignment="1">
      <alignment horizontal="right"/>
    </xf>
    <xf numFmtId="164" fontId="7" fillId="17" borderId="1" xfId="1" applyNumberFormat="1" applyFont="1" applyFill="1" applyBorder="1"/>
    <xf numFmtId="0" fontId="0" fillId="17" borderId="1" xfId="0" applyFill="1" applyBorder="1"/>
    <xf numFmtId="0" fontId="14" fillId="17" borderId="1" xfId="0" applyFont="1" applyFill="1" applyBorder="1"/>
    <xf numFmtId="2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21" fillId="2" borderId="1" xfId="1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9" fontId="8" fillId="0" borderId="0" xfId="38" applyFont="1" applyFill="1" applyAlignment="1">
      <alignment horizontal="center"/>
    </xf>
    <xf numFmtId="9" fontId="10" fillId="7" borderId="33" xfId="38" applyFont="1" applyFill="1" applyBorder="1" applyAlignment="1">
      <alignment horizontal="left" vertical="center" wrapText="1"/>
    </xf>
    <xf numFmtId="1" fontId="0" fillId="4" borderId="30" xfId="0" applyNumberFormat="1" applyFill="1" applyBorder="1" applyAlignment="1">
      <alignment vertical="center"/>
    </xf>
    <xf numFmtId="1" fontId="0" fillId="4" borderId="30" xfId="0" applyNumberForma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165" fontId="13" fillId="15" borderId="1" xfId="0" applyNumberFormat="1" applyFont="1" applyFill="1" applyBorder="1" applyAlignment="1">
      <alignment vertical="center"/>
    </xf>
    <xf numFmtId="0" fontId="0" fillId="14" borderId="30" xfId="0" applyFill="1" applyBorder="1" applyAlignment="1">
      <alignment vertical="center" wrapText="1"/>
    </xf>
    <xf numFmtId="0" fontId="0" fillId="14" borderId="32" xfId="0" applyFill="1" applyBorder="1" applyAlignment="1">
      <alignment vertical="center" wrapText="1"/>
    </xf>
    <xf numFmtId="0" fontId="0" fillId="9" borderId="30" xfId="0" applyFill="1" applyBorder="1" applyAlignment="1">
      <alignment vertical="center" wrapText="1"/>
    </xf>
    <xf numFmtId="0" fontId="24" fillId="13" borderId="1" xfId="0" applyFont="1" applyFill="1" applyBorder="1" applyAlignment="1">
      <alignment horizontal="left" vertical="center" wrapText="1" readingOrder="1"/>
    </xf>
    <xf numFmtId="0" fontId="4" fillId="13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left" vertical="center" wrapText="1" readingOrder="1"/>
    </xf>
    <xf numFmtId="1" fontId="24" fillId="13" borderId="1" xfId="1" applyNumberFormat="1" applyFont="1" applyFill="1" applyBorder="1" applyAlignment="1">
      <alignment horizontal="center" vertical="center" wrapText="1" readingOrder="1"/>
    </xf>
    <xf numFmtId="43" fontId="13" fillId="4" borderId="4" xfId="0" applyNumberFormat="1" applyFont="1" applyFill="1" applyBorder="1" applyAlignment="1">
      <alignment vertical="center"/>
    </xf>
    <xf numFmtId="9" fontId="10" fillId="2" borderId="0" xfId="0" applyNumberFormat="1" applyFont="1" applyFill="1" applyAlignment="1">
      <alignment horizontal="center" vertical="center" wrapText="1"/>
    </xf>
    <xf numFmtId="9" fontId="10" fillId="2" borderId="0" xfId="38" applyFont="1" applyFill="1" applyAlignment="1">
      <alignment horizontal="center" vertical="center" wrapText="1"/>
    </xf>
    <xf numFmtId="9" fontId="0" fillId="4" borderId="1" xfId="38" applyFont="1" applyFill="1" applyBorder="1" applyAlignment="1">
      <alignment vertical="center" wrapText="1"/>
    </xf>
    <xf numFmtId="9" fontId="10" fillId="2" borderId="1" xfId="38" applyFont="1" applyFill="1" applyBorder="1" applyAlignment="1">
      <alignment horizontal="center" vertical="center" wrapText="1"/>
    </xf>
    <xf numFmtId="2" fontId="0" fillId="17" borderId="1" xfId="0" applyNumberFormat="1" applyFont="1" applyFill="1" applyBorder="1"/>
    <xf numFmtId="2" fontId="39" fillId="2" borderId="1" xfId="0" applyNumberFormat="1" applyFont="1" applyFill="1" applyBorder="1" applyAlignment="1">
      <alignment horizontal="center" wrapText="1"/>
    </xf>
    <xf numFmtId="2" fontId="39" fillId="0" borderId="1" xfId="0" applyNumberFormat="1" applyFont="1" applyBorder="1" applyAlignment="1">
      <alignment horizontal="center" wrapText="1"/>
    </xf>
    <xf numFmtId="2" fontId="23" fillId="9" borderId="1" xfId="0" applyNumberFormat="1" applyFont="1" applyFill="1" applyBorder="1" applyAlignment="1">
      <alignment horizontal="center" wrapText="1"/>
    </xf>
    <xf numFmtId="2" fontId="39" fillId="9" borderId="1" xfId="0" applyNumberFormat="1" applyFont="1" applyFill="1" applyBorder="1" applyAlignment="1">
      <alignment horizontal="center" wrapText="1"/>
    </xf>
    <xf numFmtId="3" fontId="38" fillId="2" borderId="24" xfId="0" applyNumberFormat="1" applyFont="1" applyFill="1" applyBorder="1" applyAlignment="1">
      <alignment horizontal="center" wrapText="1" readingOrder="1"/>
    </xf>
    <xf numFmtId="0" fontId="0" fillId="17" borderId="30" xfId="0" applyFont="1" applyFill="1" applyBorder="1"/>
    <xf numFmtId="0" fontId="0" fillId="0" borderId="29" xfId="0" applyFont="1" applyBorder="1" applyAlignment="1">
      <alignment horizontal="center"/>
    </xf>
    <xf numFmtId="0" fontId="40" fillId="17" borderId="1" xfId="0" applyFont="1" applyFill="1" applyBorder="1" applyAlignment="1">
      <alignment wrapText="1"/>
    </xf>
    <xf numFmtId="0" fontId="39" fillId="17" borderId="1" xfId="0" applyFont="1" applyFill="1" applyBorder="1" applyAlignment="1">
      <alignment wrapText="1"/>
    </xf>
    <xf numFmtId="0" fontId="39" fillId="21" borderId="1" xfId="0" applyFont="1" applyFill="1" applyBorder="1" applyAlignment="1">
      <alignment wrapText="1"/>
    </xf>
    <xf numFmtId="0" fontId="39" fillId="21" borderId="36" xfId="0" applyFont="1" applyFill="1" applyBorder="1" applyAlignment="1">
      <alignment vertical="top" wrapText="1"/>
    </xf>
    <xf numFmtId="0" fontId="39" fillId="21" borderId="35" xfId="0" applyFont="1" applyFill="1" applyBorder="1" applyAlignment="1">
      <alignment vertical="top" wrapText="1"/>
    </xf>
    <xf numFmtId="0" fontId="40" fillId="17" borderId="1" xfId="0" applyFont="1" applyFill="1" applyBorder="1" applyAlignment="1">
      <alignment horizontal="justify"/>
    </xf>
    <xf numFmtId="0" fontId="0" fillId="0" borderId="0" xfId="0"/>
    <xf numFmtId="0" fontId="10" fillId="0" borderId="0" xfId="0" applyFont="1"/>
    <xf numFmtId="0" fontId="41" fillId="0" borderId="0" xfId="0" applyFont="1"/>
    <xf numFmtId="168" fontId="14" fillId="18" borderId="2" xfId="13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/>
    <xf numFmtId="0" fontId="14" fillId="0" borderId="1" xfId="0" applyFont="1" applyBorder="1" applyAlignment="1">
      <alignment vertical="center" wrapText="1"/>
    </xf>
    <xf numFmtId="168" fontId="3" fillId="0" borderId="1" xfId="134" applyNumberFormat="1" applyFont="1" applyBorder="1" applyAlignment="1">
      <alignment horizontal="center" vertical="center" wrapText="1"/>
    </xf>
    <xf numFmtId="168" fontId="3" fillId="0" borderId="1" xfId="134" applyNumberFormat="1" applyFont="1" applyBorder="1" applyAlignment="1">
      <alignment horizontal="right" vertical="center" wrapText="1"/>
    </xf>
    <xf numFmtId="168" fontId="3" fillId="1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168" fontId="14" fillId="0" borderId="1" xfId="134" applyNumberFormat="1" applyFont="1" applyBorder="1" applyAlignment="1">
      <alignment horizontal="center" vertical="center" wrapText="1"/>
    </xf>
    <xf numFmtId="168" fontId="14" fillId="0" borderId="1" xfId="134" applyNumberFormat="1" applyFont="1" applyBorder="1" applyAlignment="1">
      <alignment horizontal="right" vertical="center" wrapText="1"/>
    </xf>
    <xf numFmtId="0" fontId="14" fillId="19" borderId="1" xfId="0" applyFont="1" applyFill="1" applyBorder="1" applyAlignment="1">
      <alignment vertical="center" wrapText="1"/>
    </xf>
    <xf numFmtId="168" fontId="14" fillId="19" borderId="1" xfId="134" applyNumberFormat="1" applyFont="1" applyFill="1" applyBorder="1" applyAlignment="1">
      <alignment horizontal="center" vertical="center" wrapText="1"/>
    </xf>
    <xf numFmtId="168" fontId="14" fillId="19" borderId="1" xfId="134" applyNumberFormat="1" applyFont="1" applyFill="1" applyBorder="1" applyAlignment="1">
      <alignment horizontal="right" vertical="center" wrapText="1"/>
    </xf>
    <xf numFmtId="0" fontId="14" fillId="20" borderId="1" xfId="0" applyFont="1" applyFill="1" applyBorder="1" applyAlignment="1">
      <alignment vertical="center" wrapText="1"/>
    </xf>
    <xf numFmtId="168" fontId="14" fillId="20" borderId="1" xfId="134" applyNumberFormat="1" applyFont="1" applyFill="1" applyBorder="1" applyAlignment="1">
      <alignment horizontal="right" vertical="center" wrapText="1"/>
    </xf>
    <xf numFmtId="0" fontId="0" fillId="17" borderId="1" xfId="0" applyFont="1" applyFill="1" applyBorder="1"/>
    <xf numFmtId="0" fontId="10" fillId="17" borderId="1" xfId="0" applyFont="1" applyFill="1" applyBorder="1"/>
    <xf numFmtId="0" fontId="0" fillId="17" borderId="1" xfId="0" applyFont="1" applyFill="1" applyBorder="1" applyAlignment="1">
      <alignment wrapText="1"/>
    </xf>
    <xf numFmtId="0" fontId="10" fillId="17" borderId="1" xfId="0" applyFont="1" applyFill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8" fontId="10" fillId="17" borderId="1" xfId="0" applyNumberFormat="1" applyFont="1" applyFill="1" applyBorder="1" applyAlignment="1">
      <alignment horizontal="center"/>
    </xf>
    <xf numFmtId="168" fontId="0" fillId="17" borderId="1" xfId="0" applyNumberFormat="1" applyFont="1" applyFill="1" applyBorder="1"/>
    <xf numFmtId="168" fontId="10" fillId="17" borderId="1" xfId="0" applyNumberFormat="1" applyFont="1" applyFill="1" applyBorder="1"/>
    <xf numFmtId="0" fontId="15" fillId="0" borderId="0" xfId="0" applyFont="1"/>
    <xf numFmtId="164" fontId="3" fillId="17" borderId="1" xfId="136" applyNumberFormat="1" applyFont="1" applyFill="1" applyBorder="1" applyAlignment="1">
      <alignment horizontal="right" vertical="center" wrapText="1"/>
    </xf>
    <xf numFmtId="0" fontId="0" fillId="17" borderId="1" xfId="0" applyFill="1" applyBorder="1" applyAlignment="1">
      <alignment wrapText="1"/>
    </xf>
    <xf numFmtId="164" fontId="3" fillId="17" borderId="1" xfId="136" applyNumberFormat="1" applyFont="1" applyFill="1" applyBorder="1" applyAlignment="1">
      <alignment horizontal="right"/>
    </xf>
    <xf numFmtId="164" fontId="3" fillId="17" borderId="1" xfId="136" applyNumberFormat="1" applyFont="1" applyFill="1" applyBorder="1"/>
    <xf numFmtId="0" fontId="0" fillId="17" borderId="1" xfId="0" applyFill="1" applyBorder="1"/>
    <xf numFmtId="0" fontId="14" fillId="17" borderId="1" xfId="0" applyFont="1" applyFill="1" applyBorder="1"/>
    <xf numFmtId="0" fontId="14" fillId="18" borderId="29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4" fillId="18" borderId="30" xfId="0" applyFont="1" applyFill="1" applyBorder="1" applyAlignment="1">
      <alignment horizontal="center" vertical="center" wrapText="1"/>
    </xf>
    <xf numFmtId="168" fontId="36" fillId="0" borderId="1" xfId="134" applyNumberFormat="1" applyFont="1" applyBorder="1" applyAlignment="1">
      <alignment horizontal="center" vertical="center" wrapText="1"/>
    </xf>
    <xf numFmtId="168" fontId="37" fillId="17" borderId="1" xfId="0" applyNumberFormat="1" applyFont="1" applyFill="1" applyBorder="1"/>
    <xf numFmtId="0" fontId="33" fillId="0" borderId="40" xfId="0" applyFont="1" applyBorder="1" applyAlignment="1">
      <alignment horizontal="center" wrapText="1"/>
    </xf>
    <xf numFmtId="0" fontId="35" fillId="0" borderId="41" xfId="0" applyFont="1" applyBorder="1" applyAlignment="1">
      <alignment horizontal="center" wrapText="1"/>
    </xf>
    <xf numFmtId="0" fontId="33" fillId="0" borderId="4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42" fillId="0" borderId="41" xfId="0" applyFont="1" applyBorder="1" applyAlignment="1">
      <alignment horizontal="center" wrapText="1"/>
    </xf>
    <xf numFmtId="0" fontId="35" fillId="0" borderId="40" xfId="0" applyFont="1" applyBorder="1" applyAlignment="1">
      <alignment horizontal="center" wrapText="1"/>
    </xf>
    <xf numFmtId="0" fontId="33" fillId="19" borderId="41" xfId="0" applyFont="1" applyFill="1" applyBorder="1" applyAlignment="1">
      <alignment horizontal="center" wrapText="1"/>
    </xf>
    <xf numFmtId="0" fontId="33" fillId="19" borderId="40" xfId="0" applyFont="1" applyFill="1" applyBorder="1" applyAlignment="1">
      <alignment horizontal="center" wrapText="1"/>
    </xf>
    <xf numFmtId="0" fontId="33" fillId="19" borderId="0" xfId="0" applyFont="1" applyFill="1" applyAlignment="1">
      <alignment horizontal="center"/>
    </xf>
    <xf numFmtId="0" fontId="2" fillId="0" borderId="1" xfId="0" applyFont="1" applyBorder="1" applyAlignment="1">
      <alignment vertical="center" wrapText="1"/>
    </xf>
    <xf numFmtId="0" fontId="18" fillId="22" borderId="1" xfId="0" applyFont="1" applyFill="1" applyBorder="1" applyAlignment="1">
      <alignment horizontal="center" vertical="center"/>
    </xf>
    <xf numFmtId="0" fontId="18" fillId="22" borderId="7" xfId="0" applyFont="1" applyFill="1" applyBorder="1" applyAlignment="1">
      <alignment horizontal="center" vertical="center"/>
    </xf>
    <xf numFmtId="168" fontId="1" fillId="18" borderId="1" xfId="134" applyNumberFormat="1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wrapText="1"/>
    </xf>
    <xf numFmtId="0" fontId="43" fillId="0" borderId="43" xfId="0" applyFont="1" applyBorder="1" applyAlignment="1">
      <alignment horizontal="center" wrapText="1"/>
    </xf>
    <xf numFmtId="0" fontId="43" fillId="0" borderId="44" xfId="0" applyFont="1" applyBorder="1" applyAlignment="1">
      <alignment wrapText="1"/>
    </xf>
    <xf numFmtId="0" fontId="44" fillId="0" borderId="44" xfId="0" applyFont="1" applyBorder="1" applyAlignment="1">
      <alignment wrapText="1"/>
    </xf>
    <xf numFmtId="0" fontId="44" fillId="0" borderId="45" xfId="0" applyFont="1" applyBorder="1" applyAlignment="1">
      <alignment horizontal="center" wrapText="1"/>
    </xf>
    <xf numFmtId="9" fontId="40" fillId="0" borderId="45" xfId="0" applyNumberFormat="1" applyFont="1" applyBorder="1" applyAlignment="1">
      <alignment horizontal="center" wrapText="1"/>
    </xf>
    <xf numFmtId="10" fontId="40" fillId="0" borderId="45" xfId="0" applyNumberFormat="1" applyFont="1" applyBorder="1" applyAlignment="1">
      <alignment horizontal="center" wrapText="1"/>
    </xf>
    <xf numFmtId="2" fontId="43" fillId="0" borderId="45" xfId="0" applyNumberFormat="1" applyFont="1" applyBorder="1" applyAlignment="1">
      <alignment horizontal="center" wrapText="1"/>
    </xf>
    <xf numFmtId="1" fontId="43" fillId="0" borderId="45" xfId="0" applyNumberFormat="1" applyFont="1" applyBorder="1" applyAlignment="1">
      <alignment horizontal="center" wrapText="1"/>
    </xf>
    <xf numFmtId="2" fontId="44" fillId="0" borderId="45" xfId="0" applyNumberFormat="1" applyFont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2" borderId="29" xfId="0" applyFill="1" applyBorder="1" applyAlignment="1">
      <alignment wrapText="1"/>
    </xf>
    <xf numFmtId="0" fontId="0" fillId="2" borderId="29" xfId="0" applyFill="1" applyBorder="1" applyAlignment="1">
      <alignment horizontal="center" wrapText="1"/>
    </xf>
    <xf numFmtId="164" fontId="0" fillId="2" borderId="29" xfId="1" applyNumberFormat="1" applyFont="1" applyFill="1" applyBorder="1" applyAlignment="1">
      <alignment wrapText="1"/>
    </xf>
    <xf numFmtId="2" fontId="0" fillId="2" borderId="29" xfId="0" applyNumberForma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wrapText="1"/>
    </xf>
    <xf numFmtId="2" fontId="0" fillId="2" borderId="29" xfId="0" applyNumberFormat="1" applyFill="1" applyBorder="1" applyAlignment="1">
      <alignment horizontal="center"/>
    </xf>
    <xf numFmtId="2" fontId="39" fillId="2" borderId="29" xfId="0" applyNumberFormat="1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0" xfId="0" applyBorder="1" applyAlignment="1">
      <alignment horizontal="center"/>
    </xf>
    <xf numFmtId="164" fontId="0" fillId="0" borderId="30" xfId="1" applyNumberFormat="1" applyFont="1" applyBorder="1"/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16" borderId="0" xfId="0" applyFill="1" applyBorder="1" applyAlignment="1">
      <alignment wrapText="1"/>
    </xf>
    <xf numFmtId="0" fontId="0" fillId="16" borderId="0" xfId="0" applyFill="1" applyBorder="1" applyAlignment="1">
      <alignment horizontal="center" wrapText="1"/>
    </xf>
    <xf numFmtId="164" fontId="0" fillId="16" borderId="0" xfId="1" applyNumberFormat="1" applyFont="1" applyFill="1" applyBorder="1" applyAlignment="1">
      <alignment wrapText="1"/>
    </xf>
    <xf numFmtId="2" fontId="0" fillId="16" borderId="0" xfId="0" applyNumberFormat="1" applyFill="1" applyBorder="1" applyAlignment="1">
      <alignment horizontal="center" vertical="center" wrapText="1"/>
    </xf>
    <xf numFmtId="2" fontId="0" fillId="16" borderId="0" xfId="0" applyNumberFormat="1" applyFill="1" applyBorder="1" applyAlignment="1">
      <alignment horizontal="center" wrapText="1"/>
    </xf>
    <xf numFmtId="2" fontId="0" fillId="16" borderId="0" xfId="0" applyNumberForma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164" fontId="0" fillId="0" borderId="0" xfId="1" applyNumberFormat="1" applyFont="1" applyBorder="1" applyAlignment="1">
      <alignment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2" fontId="0" fillId="17" borderId="1" xfId="0" applyNumberFormat="1" applyFont="1" applyFill="1" applyBorder="1" applyAlignment="1"/>
    <xf numFmtId="0" fontId="35" fillId="23" borderId="1" xfId="0" applyFont="1" applyFill="1" applyBorder="1" applyAlignment="1">
      <alignment wrapText="1"/>
    </xf>
    <xf numFmtId="10" fontId="0" fillId="17" borderId="1" xfId="38" applyNumberFormat="1" applyFont="1" applyFill="1" applyBorder="1"/>
    <xf numFmtId="0" fontId="10" fillId="0" borderId="0" xfId="0" applyFont="1" applyFill="1"/>
    <xf numFmtId="0" fontId="0" fillId="0" borderId="0" xfId="0" applyFill="1"/>
    <xf numFmtId="0" fontId="0" fillId="0" borderId="0" xfId="0" applyFont="1" applyFill="1"/>
    <xf numFmtId="0" fontId="10" fillId="2" borderId="0" xfId="0" applyFont="1" applyFill="1" applyAlignment="1">
      <alignment horizontal="center" vertical="center" wrapText="1"/>
    </xf>
    <xf numFmtId="49" fontId="22" fillId="11" borderId="23" xfId="0" applyNumberFormat="1" applyFont="1" applyFill="1" applyBorder="1" applyAlignment="1">
      <alignment horizontal="center" wrapText="1"/>
    </xf>
    <xf numFmtId="49" fontId="17" fillId="11" borderId="13" xfId="0" applyNumberFormat="1" applyFont="1" applyFill="1" applyBorder="1" applyAlignment="1">
      <alignment horizontal="center" wrapText="1"/>
    </xf>
    <xf numFmtId="0" fontId="22" fillId="4" borderId="13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 wrapText="1"/>
    </xf>
    <xf numFmtId="0" fontId="17" fillId="4" borderId="14" xfId="0" applyFont="1" applyFill="1" applyBorder="1" applyAlignment="1">
      <alignment horizontal="center" wrapText="1"/>
    </xf>
    <xf numFmtId="2" fontId="24" fillId="12" borderId="1" xfId="0" applyNumberFormat="1" applyFont="1" applyFill="1" applyBorder="1" applyAlignment="1">
      <alignment horizontal="center" vertical="center" wrapText="1" readingOrder="1"/>
    </xf>
    <xf numFmtId="2" fontId="31" fillId="13" borderId="1" xfId="0" applyNumberFormat="1" applyFont="1" applyFill="1" applyBorder="1" applyAlignment="1">
      <alignment horizontal="center" vertical="center" wrapText="1" readingOrder="1"/>
    </xf>
    <xf numFmtId="0" fontId="14" fillId="17" borderId="2" xfId="0" applyFont="1" applyFill="1" applyBorder="1" applyAlignment="1">
      <alignment horizontal="center"/>
    </xf>
    <xf numFmtId="0" fontId="14" fillId="17" borderId="3" xfId="0" applyFont="1" applyFill="1" applyBorder="1" applyAlignment="1">
      <alignment horizontal="center"/>
    </xf>
    <xf numFmtId="0" fontId="14" fillId="17" borderId="4" xfId="0" applyFont="1" applyFill="1" applyBorder="1" applyAlignment="1">
      <alignment horizontal="center"/>
    </xf>
    <xf numFmtId="0" fontId="24" fillId="12" borderId="25" xfId="0" applyFont="1" applyFill="1" applyBorder="1" applyAlignment="1">
      <alignment horizontal="left" vertical="center" wrapText="1" readingOrder="1"/>
    </xf>
    <xf numFmtId="0" fontId="24" fillId="12" borderId="26" xfId="0" applyFont="1" applyFill="1" applyBorder="1" applyAlignment="1">
      <alignment horizontal="left" vertical="center" wrapText="1" readingOrder="1"/>
    </xf>
    <xf numFmtId="0" fontId="24" fillId="12" borderId="34" xfId="0" applyFont="1" applyFill="1" applyBorder="1" applyAlignment="1">
      <alignment horizontal="left" vertical="center" wrapText="1" readingOrder="1"/>
    </xf>
    <xf numFmtId="0" fontId="32" fillId="14" borderId="29" xfId="0" applyFont="1" applyFill="1" applyBorder="1" applyAlignment="1">
      <alignment horizontal="justify" vertical="top" wrapText="1" readingOrder="1"/>
    </xf>
    <xf numFmtId="0" fontId="32" fillId="14" borderId="32" xfId="0" applyFont="1" applyFill="1" applyBorder="1" applyAlignment="1">
      <alignment horizontal="justify" vertical="top" wrapText="1" readingOrder="1"/>
    </xf>
    <xf numFmtId="168" fontId="14" fillId="18" borderId="29" xfId="134" applyNumberFormat="1" applyFont="1" applyFill="1" applyBorder="1" applyAlignment="1">
      <alignment horizontal="center" vertical="center" wrapText="1"/>
    </xf>
    <xf numFmtId="168" fontId="14" fillId="18" borderId="32" xfId="134" applyNumberFormat="1" applyFont="1" applyFill="1" applyBorder="1" applyAlignment="1">
      <alignment horizontal="center" vertical="center" wrapText="1"/>
    </xf>
    <xf numFmtId="168" fontId="14" fillId="18" borderId="30" xfId="134" applyNumberFormat="1" applyFont="1" applyFill="1" applyBorder="1" applyAlignment="1">
      <alignment horizontal="center" vertical="center" wrapText="1"/>
    </xf>
    <xf numFmtId="0" fontId="14" fillId="18" borderId="29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4" fillId="18" borderId="3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9" fillId="21" borderId="37" xfId="0" applyFont="1" applyFill="1" applyBorder="1" applyAlignment="1">
      <alignment vertical="top" wrapText="1"/>
    </xf>
    <xf numFmtId="0" fontId="39" fillId="21" borderId="36" xfId="0" applyFont="1" applyFill="1" applyBorder="1" applyAlignment="1">
      <alignment vertical="top" wrapText="1"/>
    </xf>
    <xf numFmtId="2" fontId="0" fillId="17" borderId="38" xfId="0" applyNumberFormat="1" applyFont="1" applyFill="1" applyBorder="1" applyAlignment="1"/>
    <xf numFmtId="2" fontId="0" fillId="17" borderId="39" xfId="0" applyNumberFormat="1" applyFont="1" applyFill="1" applyBorder="1" applyAlignment="1"/>
    <xf numFmtId="0" fontId="0" fillId="17" borderId="1" xfId="0" applyFill="1" applyBorder="1" applyAlignment="1">
      <alignment horizontal="center" wrapText="1"/>
    </xf>
    <xf numFmtId="0" fontId="0" fillId="17" borderId="1" xfId="0" applyFont="1" applyFill="1" applyBorder="1" applyAlignment="1">
      <alignment horizontal="center" wrapText="1"/>
    </xf>
    <xf numFmtId="0" fontId="35" fillId="15" borderId="1" xfId="0" applyFont="1" applyFill="1" applyBorder="1" applyAlignment="1">
      <alignment wrapText="1"/>
    </xf>
  </cellXfs>
  <cellStyles count="138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Обычный" xfId="0" builtinId="0"/>
    <cellStyle name="Обычный 2" xfId="135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Процентный" xfId="38" builtinId="5"/>
    <cellStyle name="Процентный 2" xfId="137"/>
    <cellStyle name="Финансовый" xfId="1" builtinId="3"/>
    <cellStyle name="Финансовый 2" xfId="134"/>
    <cellStyle name="Финансовый 3" xfId="133"/>
    <cellStyle name="Финансовый 4" xfId="136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1" indent="0" relativeIndent="255" justifyLastLine="0" shrinkToFit="0" readingOrder="0"/>
      <border diagonalUp="0" diagonalDown="0" outline="0">
        <left style="medium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Таблица4" displayName="Таблица4" ref="B5:K21" totalsRowShown="0" headerRowDxfId="22" dataDxfId="21" dataCellStyle="Процентный">
  <autoFilter ref="B5:K21"/>
  <tableColumns count="10">
    <tableColumn id="1" name="1. ВНЕОБОРОТНЫЕ АКТИВЫ" dataDxfId="20"/>
    <tableColumn id="2" name="2017 г." dataDxfId="19" dataCellStyle="Финансовый"/>
    <tableColumn id="3" name="2016 г." dataDxfId="18" dataCellStyle="Финансовый"/>
    <tableColumn id="4" name="2015 г." dataDxfId="17"/>
    <tableColumn id="5" name="Изменения 2017 к 2015" dataDxfId="16" dataCellStyle="Процентный">
      <calculatedColumnFormula>(C6-E6)/E6</calculatedColumnFormula>
    </tableColumn>
    <tableColumn id="6" name="Изменения 2016 к 2015" dataDxfId="15" dataCellStyle="Процентный">
      <calculatedColumnFormula>(D6-E6)/E6</calculatedColumnFormula>
    </tableColumn>
    <tableColumn id="7" name="База 2015 г." dataDxfId="14" dataCellStyle="Процентный"/>
    <tableColumn id="8" name="2017 г.2" dataDxfId="13" dataCellStyle="Процентный"/>
    <tableColumn id="9" name="2016 г.2" dataDxfId="12" dataCellStyle="Процентный"/>
    <tableColumn id="10" name="2015 г.2" dataDxfId="11" dataCellStyle="Процентный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B24:K44" totalsRowShown="0" dataDxfId="10" dataCellStyle="Процентный">
  <autoFilter ref="B24:K44"/>
  <tableColumns count="10">
    <tableColumn id="1" name="3. КАПИТАЛ И РЕЗЕРВЫ" dataDxfId="9"/>
    <tableColumn id="2" name="2017 г." dataDxfId="8" dataCellStyle="Финансовый"/>
    <tableColumn id="3" name="2016 г." dataDxfId="7" dataCellStyle="Финансовый"/>
    <tableColumn id="4" name="2015 г." dataDxfId="6"/>
    <tableColumn id="5" name="Изменения 2017 к 2015" dataDxfId="5" dataCellStyle="Процентный"/>
    <tableColumn id="6" name="Изменения 2016 к 2015" dataDxfId="4" dataCellStyle="Процентный"/>
    <tableColumn id="7" name="База 2015 г." dataDxfId="3" dataCellStyle="Процентный"/>
    <tableColumn id="8" name="2017 г.2" dataDxfId="2" dataCellStyle="Процентный"/>
    <tableColumn id="9" name="2016 г.2" dataDxfId="1" dataCellStyle="Процентный"/>
    <tableColumn id="10" name="2015 г.2" dataDxfId="0" dataCellStyle="Процентный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660066"/>
  </sheetPr>
  <dimension ref="A1:AR158"/>
  <sheetViews>
    <sheetView topLeftCell="A84" workbookViewId="0">
      <selection activeCell="E87" sqref="E87:F87"/>
    </sheetView>
  </sheetViews>
  <sheetFormatPr defaultColWidth="11" defaultRowHeight="15.75" outlineLevelRow="1" outlineLevelCol="1"/>
  <cols>
    <col min="1" max="1" width="4.875" style="6" customWidth="1"/>
    <col min="2" max="2" width="48.25" style="7" customWidth="1" outlineLevel="1"/>
    <col min="3" max="3" width="11.625" style="10" customWidth="1" outlineLevel="1"/>
    <col min="4" max="4" width="11.625" style="1" customWidth="1" outlineLevel="1"/>
    <col min="5" max="5" width="16.75" style="4" customWidth="1" outlineLevel="1"/>
    <col min="6" max="6" width="11.5" style="71" customWidth="1" outlineLevel="1"/>
    <col min="7" max="7" width="6.75" style="10" customWidth="1" outlineLevel="1"/>
    <col min="8" max="8" width="16.5" style="10" customWidth="1" outlineLevel="1"/>
    <col min="9" max="9" width="10.75" style="10" customWidth="1" outlineLevel="1"/>
    <col min="10" max="10" width="9" style="10" customWidth="1" outlineLevel="1"/>
    <col min="11" max="11" width="7.5" style="10" customWidth="1" outlineLevel="1"/>
    <col min="12" max="12" width="4.375" style="10" customWidth="1" outlineLevel="1"/>
    <col min="13" max="13" width="18" style="10" customWidth="1" outlineLevel="1"/>
    <col min="14" max="14" width="33.125" style="10" customWidth="1" outlineLevel="1"/>
    <col min="15" max="15" width="12.375" style="10" customWidth="1" outlineLevel="1"/>
    <col min="16" max="16" width="11.75" style="10" customWidth="1" outlineLevel="1"/>
    <col min="17" max="17" width="16.125" style="10" customWidth="1" outlineLevel="1"/>
    <col min="18" max="18" width="12.875" style="10" customWidth="1" outlineLevel="1"/>
    <col min="19" max="19" width="11" style="10" customWidth="1" outlineLevel="1"/>
    <col min="20" max="26" width="12.125" style="10" customWidth="1" outlineLevel="1"/>
    <col min="27" max="34" width="10.375" customWidth="1" outlineLevel="1"/>
    <col min="35" max="35" width="10.375" customWidth="1"/>
    <col min="36" max="37" width="11.125" customWidth="1" outlineLevel="1"/>
    <col min="38" max="38" width="10.875" customWidth="1" outlineLevel="1"/>
    <col min="39" max="39" width="7.125" customWidth="1" outlineLevel="1"/>
    <col min="40" max="40" width="26.5" style="7" customWidth="1"/>
    <col min="41" max="41" width="32.125" style="7" customWidth="1"/>
    <col min="44" max="44" width="37" style="7" customWidth="1"/>
  </cols>
  <sheetData>
    <row r="1" spans="1:44" ht="18.75" customHeight="1">
      <c r="B1" s="12" t="s">
        <v>0</v>
      </c>
      <c r="E1" s="40"/>
      <c r="M1" s="347" t="s">
        <v>150</v>
      </c>
      <c r="N1" s="347"/>
      <c r="O1" s="347"/>
      <c r="P1" s="347"/>
      <c r="Q1" s="347"/>
      <c r="R1" s="347"/>
      <c r="S1" s="347"/>
      <c r="AD1" s="61"/>
      <c r="AE1" s="344"/>
      <c r="AF1" s="344"/>
      <c r="AG1" s="344"/>
      <c r="AH1" s="61"/>
      <c r="AI1" s="61"/>
      <c r="AJ1" s="61"/>
      <c r="AK1" s="61"/>
      <c r="AL1" s="41"/>
      <c r="AM1" s="41"/>
      <c r="AN1" s="41"/>
      <c r="AO1" s="61"/>
    </row>
    <row r="2" spans="1:44" ht="17.25" customHeight="1">
      <c r="B2" s="12" t="s">
        <v>171</v>
      </c>
      <c r="M2" s="19"/>
      <c r="N2" s="19"/>
      <c r="O2" s="19"/>
      <c r="P2" s="2"/>
      <c r="Q2" s="2"/>
      <c r="R2" s="2"/>
      <c r="S2" s="19"/>
      <c r="AD2" s="61"/>
      <c r="AE2" s="344"/>
      <c r="AF2" s="344"/>
      <c r="AG2" s="344"/>
      <c r="AH2" s="61"/>
      <c r="AI2" s="61"/>
      <c r="AJ2" s="61"/>
      <c r="AK2" s="61"/>
      <c r="AL2" s="41"/>
      <c r="AM2" s="41"/>
      <c r="AN2" s="41"/>
      <c r="AO2" s="61"/>
    </row>
    <row r="3" spans="1:44" ht="16.5" thickBot="1">
      <c r="A3" s="14"/>
      <c r="B3" s="8"/>
      <c r="L3" s="11"/>
      <c r="M3" s="20"/>
      <c r="N3" s="20"/>
      <c r="O3" s="187" t="s">
        <v>170</v>
      </c>
      <c r="P3" s="187" t="s">
        <v>169</v>
      </c>
      <c r="Q3" s="187">
        <v>2015</v>
      </c>
      <c r="R3" s="69"/>
      <c r="S3" s="20"/>
      <c r="T3" s="11"/>
      <c r="U3" s="11"/>
      <c r="V3" s="11"/>
      <c r="W3" s="11"/>
      <c r="X3" s="11"/>
      <c r="Y3" s="11"/>
      <c r="Z3" s="11"/>
      <c r="AA3" s="3"/>
      <c r="AB3" s="3"/>
      <c r="AC3" s="3"/>
      <c r="AD3" s="41"/>
      <c r="AE3" s="344"/>
      <c r="AF3" s="344"/>
      <c r="AG3" s="344"/>
      <c r="AH3" s="62"/>
      <c r="AI3" s="41"/>
      <c r="AJ3" s="41"/>
      <c r="AK3" s="41"/>
      <c r="AL3" s="41"/>
      <c r="AM3" s="41"/>
      <c r="AN3" s="41"/>
      <c r="AO3" s="41"/>
    </row>
    <row r="4" spans="1:44" ht="47.25" customHeight="1">
      <c r="B4" s="87" t="s">
        <v>1</v>
      </c>
      <c r="C4" s="117" t="s">
        <v>170</v>
      </c>
      <c r="D4" s="117" t="s">
        <v>169</v>
      </c>
      <c r="E4" s="118" t="s">
        <v>50</v>
      </c>
      <c r="F4" s="348" t="s">
        <v>54</v>
      </c>
      <c r="G4" s="349"/>
      <c r="H4" s="349"/>
      <c r="I4" s="350" t="s">
        <v>55</v>
      </c>
      <c r="J4" s="351"/>
      <c r="K4" s="352"/>
      <c r="M4" s="177" t="s">
        <v>70</v>
      </c>
      <c r="N4" s="358" t="s">
        <v>75</v>
      </c>
      <c r="O4" s="188">
        <f>C31+C42</f>
        <v>3744000</v>
      </c>
      <c r="P4" s="188">
        <f t="shared" ref="P4:Q4" si="0">D31+D42</f>
        <v>3200600</v>
      </c>
      <c r="Q4" s="188">
        <f t="shared" si="0"/>
        <v>3800400</v>
      </c>
      <c r="R4" s="182"/>
      <c r="S4" s="48"/>
      <c r="AD4" s="61"/>
      <c r="AE4" s="345"/>
      <c r="AF4" s="345"/>
      <c r="AG4" s="345"/>
      <c r="AH4" s="61"/>
      <c r="AI4" s="61"/>
      <c r="AJ4" s="61"/>
      <c r="AK4" s="61"/>
      <c r="AL4" s="61"/>
      <c r="AM4" s="61"/>
      <c r="AN4" s="61"/>
      <c r="AO4" s="61"/>
    </row>
    <row r="5" spans="1:44" s="5" customFormat="1" ht="52.5" thickBot="1">
      <c r="A5" s="14"/>
      <c r="B5" s="88" t="s">
        <v>5</v>
      </c>
      <c r="C5" s="115" t="s">
        <v>170</v>
      </c>
      <c r="D5" s="115" t="s">
        <v>169</v>
      </c>
      <c r="E5" s="116" t="s">
        <v>50</v>
      </c>
      <c r="F5" s="112" t="s">
        <v>172</v>
      </c>
      <c r="G5" s="113" t="s">
        <v>173</v>
      </c>
      <c r="H5" s="114" t="s">
        <v>174</v>
      </c>
      <c r="I5" s="119" t="s">
        <v>175</v>
      </c>
      <c r="J5" s="120" t="s">
        <v>176</v>
      </c>
      <c r="K5" s="121" t="s">
        <v>51</v>
      </c>
      <c r="L5" s="27"/>
      <c r="M5" s="178" t="s">
        <v>71</v>
      </c>
      <c r="N5" s="359"/>
      <c r="O5" s="191">
        <f>(O4/P4)*100</f>
        <v>116.97806661251016</v>
      </c>
      <c r="P5" s="191">
        <f>(P4/Q4)*100</f>
        <v>84.217450794653189</v>
      </c>
      <c r="Q5" s="189">
        <v>1</v>
      </c>
      <c r="R5" s="183"/>
      <c r="S5" s="46"/>
      <c r="T5" s="27"/>
      <c r="U5" s="27"/>
      <c r="V5" s="27"/>
      <c r="W5" s="27"/>
      <c r="X5" s="27"/>
      <c r="Y5" s="27"/>
      <c r="Z5" s="27"/>
      <c r="AD5" s="41"/>
      <c r="AE5" s="344"/>
      <c r="AF5" s="344"/>
      <c r="AG5" s="344"/>
      <c r="AH5" s="41"/>
      <c r="AI5" s="41"/>
      <c r="AJ5" s="41"/>
      <c r="AK5" s="41"/>
      <c r="AL5" s="41"/>
      <c r="AM5" s="41"/>
      <c r="AN5" s="41"/>
      <c r="AO5" s="41"/>
      <c r="AR5" s="8"/>
    </row>
    <row r="6" spans="1:44" ht="32.25" customHeight="1" outlineLevel="1">
      <c r="B6" s="89" t="s">
        <v>6</v>
      </c>
      <c r="C6" s="90">
        <v>60</v>
      </c>
      <c r="D6" s="90">
        <v>41900</v>
      </c>
      <c r="E6" s="91">
        <v>35800</v>
      </c>
      <c r="F6" s="80">
        <f>(C6-E6)/E6</f>
        <v>-0.99832402234636874</v>
      </c>
      <c r="G6" s="81">
        <f>(D6-E6)/E6</f>
        <v>0.17039106145251395</v>
      </c>
      <c r="H6" s="82">
        <v>1</v>
      </c>
      <c r="I6" s="92">
        <f t="shared" ref="I6:K12" si="1">C6/C$12</f>
        <v>1.5913853009044372E-5</v>
      </c>
      <c r="J6" s="92">
        <f t="shared" si="1"/>
        <v>1.6302233289238192E-2</v>
      </c>
      <c r="K6" s="93">
        <f t="shared" si="1"/>
        <v>1.350535687339671E-2</v>
      </c>
      <c r="L6" s="26"/>
      <c r="M6" s="179"/>
      <c r="N6" s="180" t="s">
        <v>72</v>
      </c>
      <c r="O6" s="353">
        <f>O4/(C25+C29)</f>
        <v>7.2614429790535295</v>
      </c>
      <c r="P6" s="353">
        <f t="shared" ref="P6:Q6" si="2">P4/(D25+D29)</f>
        <v>6.2075252133436774</v>
      </c>
      <c r="Q6" s="353">
        <f t="shared" si="2"/>
        <v>7.3708301008533743</v>
      </c>
      <c r="R6" s="183"/>
      <c r="S6" s="46"/>
      <c r="T6" s="26"/>
      <c r="U6" s="26"/>
      <c r="V6" s="26"/>
      <c r="W6" s="26"/>
      <c r="X6" s="26"/>
      <c r="Y6" s="26"/>
      <c r="Z6" s="26"/>
      <c r="AD6" s="61"/>
      <c r="AE6" s="345"/>
      <c r="AF6" s="345"/>
      <c r="AG6" s="345"/>
      <c r="AH6" s="61"/>
      <c r="AI6" s="61"/>
      <c r="AJ6" s="61"/>
      <c r="AK6" s="61"/>
      <c r="AL6" s="61"/>
      <c r="AM6" s="61"/>
      <c r="AN6" s="61"/>
      <c r="AO6" s="63"/>
    </row>
    <row r="7" spans="1:44" s="30" customFormat="1" ht="20.25" customHeight="1" outlineLevel="1" thickBot="1">
      <c r="A7" s="28"/>
      <c r="B7" s="151" t="s">
        <v>53</v>
      </c>
      <c r="C7" s="90">
        <v>950000</v>
      </c>
      <c r="D7" s="90">
        <v>1105000</v>
      </c>
      <c r="E7" s="91">
        <v>1300000</v>
      </c>
      <c r="F7" s="80">
        <f t="shared" ref="F7" si="3">(C7-E7)/E7</f>
        <v>-0.26923076923076922</v>
      </c>
      <c r="G7" s="81">
        <f t="shared" ref="G7:G12" si="4">(D7-E7)/E7</f>
        <v>-0.15</v>
      </c>
      <c r="H7" s="82">
        <v>1</v>
      </c>
      <c r="I7" s="92">
        <f t="shared" si="1"/>
        <v>0.25196933930986926</v>
      </c>
      <c r="J7" s="92">
        <f t="shared" si="1"/>
        <v>0.42992763209088786</v>
      </c>
      <c r="K7" s="93">
        <f t="shared" si="1"/>
        <v>0.49041798702278555</v>
      </c>
      <c r="L7" s="29"/>
      <c r="M7" s="179"/>
      <c r="N7" s="181" t="s">
        <v>73</v>
      </c>
      <c r="O7" s="353"/>
      <c r="P7" s="353"/>
      <c r="Q7" s="353"/>
      <c r="R7" s="53"/>
      <c r="S7" s="198"/>
      <c r="T7" s="29"/>
      <c r="U7" s="29"/>
      <c r="V7" s="29"/>
      <c r="W7" s="29"/>
      <c r="X7" s="29"/>
      <c r="Y7" s="29"/>
      <c r="Z7" s="29"/>
      <c r="AD7" s="35"/>
      <c r="AE7" s="346"/>
      <c r="AF7" s="346"/>
      <c r="AG7" s="346"/>
      <c r="AH7" s="35"/>
      <c r="AI7" s="35"/>
      <c r="AJ7" s="35"/>
      <c r="AK7" s="35"/>
      <c r="AL7" s="35"/>
      <c r="AM7" s="35"/>
      <c r="AN7" s="35"/>
      <c r="AO7" s="36"/>
      <c r="AR7" s="13"/>
    </row>
    <row r="8" spans="1:44" s="30" customFormat="1" ht="26.25" customHeight="1" outlineLevel="1">
      <c r="A8" s="28"/>
      <c r="B8" s="89" t="s">
        <v>7</v>
      </c>
      <c r="C8" s="90">
        <v>100200</v>
      </c>
      <c r="D8" s="90">
        <v>110600</v>
      </c>
      <c r="E8" s="91">
        <v>250000</v>
      </c>
      <c r="F8" s="80">
        <f>(C8-E8)/E8</f>
        <v>-0.59919999999999995</v>
      </c>
      <c r="G8" s="81">
        <f t="shared" si="4"/>
        <v>-0.55759999999999998</v>
      </c>
      <c r="H8" s="82">
        <v>1</v>
      </c>
      <c r="I8" s="92">
        <f t="shared" si="1"/>
        <v>2.6576134525104104E-2</v>
      </c>
      <c r="J8" s="92">
        <f t="shared" si="1"/>
        <v>4.3031670687106061E-2</v>
      </c>
      <c r="K8" s="93">
        <f t="shared" si="1"/>
        <v>9.4311151350535694E-2</v>
      </c>
      <c r="L8" s="29"/>
      <c r="M8" s="179"/>
      <c r="N8" s="358" t="s">
        <v>74</v>
      </c>
      <c r="O8" s="195">
        <f>C30</f>
        <v>1700000</v>
      </c>
      <c r="P8" s="195">
        <f t="shared" ref="P8:Q8" si="5">D30</f>
        <v>1160000</v>
      </c>
      <c r="Q8" s="195">
        <f t="shared" si="5"/>
        <v>1760000</v>
      </c>
      <c r="R8" s="200" t="s">
        <v>81</v>
      </c>
      <c r="S8" s="201">
        <f>O8/P8</f>
        <v>1.4655172413793103</v>
      </c>
      <c r="T8" s="202">
        <f>P8/Q8</f>
        <v>0.65909090909090906</v>
      </c>
      <c r="U8" s="202">
        <v>1</v>
      </c>
      <c r="V8" s="29"/>
      <c r="W8" s="29"/>
      <c r="X8" s="29"/>
      <c r="Y8" s="29"/>
      <c r="Z8" s="29"/>
      <c r="AD8" s="35"/>
      <c r="AE8" s="346"/>
      <c r="AF8" s="346"/>
      <c r="AG8" s="346"/>
      <c r="AH8" s="35"/>
      <c r="AI8" s="35"/>
      <c r="AJ8" s="35"/>
      <c r="AK8" s="35"/>
      <c r="AL8" s="35"/>
      <c r="AM8" s="35"/>
      <c r="AN8" s="35"/>
      <c r="AO8" s="36"/>
      <c r="AR8" s="13"/>
    </row>
    <row r="9" spans="1:44" s="30" customFormat="1" ht="23.25" hidden="1" customHeight="1" outlineLevel="1" thickBot="1">
      <c r="A9" s="28"/>
      <c r="B9" s="89" t="s">
        <v>8</v>
      </c>
      <c r="C9" s="90">
        <v>2600000</v>
      </c>
      <c r="D9" s="90">
        <v>1250000</v>
      </c>
      <c r="E9" s="91">
        <v>1021000</v>
      </c>
      <c r="F9" s="80">
        <f t="shared" ref="F9:F12" si="6">(C9-E9)/E9</f>
        <v>1.5465230166503428</v>
      </c>
      <c r="G9" s="81">
        <f t="shared" si="4"/>
        <v>0.22428991185112634</v>
      </c>
      <c r="H9" s="82">
        <v>1</v>
      </c>
      <c r="I9" s="92">
        <f t="shared" si="1"/>
        <v>0.6896002970585895</v>
      </c>
      <c r="J9" s="92">
        <f t="shared" si="1"/>
        <v>0.48634347521593652</v>
      </c>
      <c r="K9" s="93">
        <f t="shared" si="1"/>
        <v>0.38516674211558777</v>
      </c>
      <c r="L9" s="29"/>
      <c r="M9" s="179"/>
      <c r="N9" s="360"/>
      <c r="O9" s="192"/>
      <c r="P9" s="193"/>
      <c r="Q9" s="190"/>
      <c r="R9" s="183"/>
      <c r="S9" s="199"/>
      <c r="T9" s="29"/>
      <c r="U9" s="29"/>
      <c r="V9" s="29"/>
      <c r="W9" s="29"/>
      <c r="X9" s="29"/>
      <c r="Y9" s="29"/>
      <c r="Z9" s="29"/>
      <c r="AD9" s="35"/>
      <c r="AE9" s="346"/>
      <c r="AF9" s="346"/>
      <c r="AG9" s="346"/>
      <c r="AH9" s="35"/>
      <c r="AI9" s="35"/>
      <c r="AJ9" s="35"/>
      <c r="AK9" s="35"/>
      <c r="AL9" s="35"/>
      <c r="AM9" s="35"/>
      <c r="AN9" s="35"/>
      <c r="AO9" s="36"/>
      <c r="AR9" s="13"/>
    </row>
    <row r="10" spans="1:44" s="30" customFormat="1" ht="29.25" customHeight="1" outlineLevel="1">
      <c r="A10" s="28"/>
      <c r="B10" s="89" t="s">
        <v>9</v>
      </c>
      <c r="C10" s="90">
        <v>11240</v>
      </c>
      <c r="D10" s="90">
        <v>11600</v>
      </c>
      <c r="E10" s="91">
        <v>11600</v>
      </c>
      <c r="F10" s="80">
        <f t="shared" si="6"/>
        <v>-3.1034482758620689E-2</v>
      </c>
      <c r="G10" s="81">
        <f t="shared" si="4"/>
        <v>0</v>
      </c>
      <c r="H10" s="82">
        <v>1</v>
      </c>
      <c r="I10" s="92">
        <f t="shared" si="1"/>
        <v>2.9811951303609792E-3</v>
      </c>
      <c r="J10" s="92">
        <f t="shared" si="1"/>
        <v>4.5132674500038905E-3</v>
      </c>
      <c r="K10" s="93">
        <f t="shared" si="1"/>
        <v>4.3760374226648555E-3</v>
      </c>
      <c r="L10" s="29"/>
      <c r="M10" s="361" t="s">
        <v>76</v>
      </c>
      <c r="N10" s="227" t="s">
        <v>77</v>
      </c>
      <c r="O10" s="196">
        <f>C33+C38</f>
        <v>830300</v>
      </c>
      <c r="P10" s="196">
        <f>D33+D38</f>
        <v>1130400</v>
      </c>
      <c r="Q10" s="196">
        <f>E33+E38</f>
        <v>960000</v>
      </c>
      <c r="R10" s="184"/>
      <c r="S10" s="21"/>
      <c r="T10" s="29"/>
      <c r="U10" s="29"/>
      <c r="V10" s="29"/>
      <c r="W10" s="29"/>
      <c r="X10" s="29"/>
      <c r="Y10" s="29"/>
      <c r="Z10" s="29"/>
      <c r="AD10" s="35"/>
      <c r="AE10" s="346"/>
      <c r="AF10" s="346"/>
      <c r="AG10" s="346"/>
      <c r="AH10" s="64"/>
      <c r="AI10" s="64"/>
      <c r="AJ10" s="35"/>
      <c r="AK10" s="35"/>
      <c r="AL10" s="35"/>
      <c r="AM10" s="35"/>
      <c r="AN10" s="35"/>
      <c r="AO10" s="36"/>
      <c r="AR10" s="13"/>
    </row>
    <row r="11" spans="1:44" s="30" customFormat="1" ht="22.5" customHeight="1" outlineLevel="1">
      <c r="A11" s="28"/>
      <c r="B11" s="89" t="s">
        <v>10</v>
      </c>
      <c r="C11" s="90">
        <v>108800</v>
      </c>
      <c r="D11" s="90">
        <v>51100</v>
      </c>
      <c r="E11" s="91">
        <v>32400</v>
      </c>
      <c r="F11" s="80">
        <f t="shared" si="6"/>
        <v>2.3580246913580245</v>
      </c>
      <c r="G11" s="81">
        <f t="shared" si="4"/>
        <v>0.5771604938271605</v>
      </c>
      <c r="H11" s="82">
        <v>1</v>
      </c>
      <c r="I11" s="92">
        <f t="shared" si="1"/>
        <v>2.8857120123067129E-2</v>
      </c>
      <c r="J11" s="92">
        <f t="shared" si="1"/>
        <v>1.9881721266827485E-2</v>
      </c>
      <c r="K11" s="93">
        <f t="shared" si="1"/>
        <v>1.2222725215029425E-2</v>
      </c>
      <c r="L11" s="29"/>
      <c r="M11" s="362"/>
      <c r="N11" s="227" t="s">
        <v>78</v>
      </c>
      <c r="O11" s="194">
        <f>O10/P10*100</f>
        <v>73.451875442321295</v>
      </c>
      <c r="P11" s="194">
        <f>P10/Q10*100</f>
        <v>117.75</v>
      </c>
      <c r="Q11" s="197">
        <v>1</v>
      </c>
      <c r="R11" s="24"/>
      <c r="S11" s="25"/>
      <c r="T11" s="29"/>
      <c r="U11" s="29"/>
      <c r="V11" s="29"/>
      <c r="W11" s="29"/>
      <c r="X11" s="29"/>
      <c r="Y11" s="29"/>
      <c r="Z11" s="29"/>
      <c r="AD11" s="35"/>
      <c r="AE11" s="346"/>
      <c r="AF11" s="346"/>
      <c r="AG11" s="346"/>
      <c r="AH11" s="35"/>
      <c r="AI11" s="35"/>
      <c r="AJ11" s="35"/>
      <c r="AK11" s="35"/>
      <c r="AL11" s="35"/>
      <c r="AM11" s="35"/>
      <c r="AN11" s="35"/>
      <c r="AO11" s="36"/>
      <c r="AR11" s="13"/>
    </row>
    <row r="12" spans="1:44" s="5" customFormat="1" ht="22.5" customHeight="1" outlineLevel="1">
      <c r="A12" s="14"/>
      <c r="B12" s="88" t="s">
        <v>11</v>
      </c>
      <c r="C12" s="94">
        <f>SUM(C6:C11)</f>
        <v>3770300</v>
      </c>
      <c r="D12" s="94">
        <f>SUM(D6:D11)</f>
        <v>2570200</v>
      </c>
      <c r="E12" s="94">
        <f>SUM(E6:E11)</f>
        <v>2650800</v>
      </c>
      <c r="F12" s="83">
        <f t="shared" si="6"/>
        <v>0.42232533574769882</v>
      </c>
      <c r="G12" s="84">
        <f t="shared" si="4"/>
        <v>-3.0405915195412705E-2</v>
      </c>
      <c r="H12" s="82">
        <v>1</v>
      </c>
      <c r="I12" s="92">
        <f t="shared" si="1"/>
        <v>1</v>
      </c>
      <c r="J12" s="92">
        <f t="shared" si="1"/>
        <v>1</v>
      </c>
      <c r="K12" s="93">
        <f t="shared" si="1"/>
        <v>1</v>
      </c>
      <c r="L12" s="15"/>
      <c r="M12" s="362"/>
      <c r="N12" s="228" t="s">
        <v>102</v>
      </c>
      <c r="O12" s="230">
        <f>C39</f>
        <v>550900</v>
      </c>
      <c r="P12" s="230">
        <f t="shared" ref="P12:Q12" si="7">D39</f>
        <v>320200</v>
      </c>
      <c r="Q12" s="230">
        <f t="shared" si="7"/>
        <v>500000</v>
      </c>
      <c r="R12" s="231" t="s">
        <v>81</v>
      </c>
      <c r="S12" s="235">
        <f>O12/P12</f>
        <v>1.7204871955028107</v>
      </c>
      <c r="T12" s="233">
        <f>P12/Q12</f>
        <v>0.64039999999999997</v>
      </c>
      <c r="U12" s="232">
        <v>1</v>
      </c>
      <c r="V12" s="15"/>
      <c r="W12" s="15"/>
      <c r="X12" s="15"/>
      <c r="Y12" s="15"/>
      <c r="Z12" s="15"/>
      <c r="AD12" s="41"/>
      <c r="AE12" s="344"/>
      <c r="AF12" s="344"/>
      <c r="AG12" s="344"/>
      <c r="AH12" s="65"/>
      <c r="AI12" s="65"/>
      <c r="AJ12" s="41"/>
      <c r="AK12" s="41"/>
      <c r="AL12" s="41"/>
      <c r="AM12" s="41"/>
      <c r="AN12" s="41"/>
      <c r="AO12" s="66"/>
      <c r="AR12" s="8"/>
    </row>
    <row r="13" spans="1:44" s="35" customFormat="1" ht="31.5" customHeight="1" outlineLevel="1">
      <c r="A13" s="31"/>
      <c r="B13" s="95" t="s">
        <v>12</v>
      </c>
      <c r="C13" s="96"/>
      <c r="D13" s="96"/>
      <c r="E13" s="97"/>
      <c r="F13" s="85"/>
      <c r="G13" s="86"/>
      <c r="H13" s="82"/>
      <c r="I13" s="98"/>
      <c r="J13" s="98"/>
      <c r="K13" s="99"/>
      <c r="L13" s="34"/>
      <c r="M13" s="362"/>
      <c r="N13" s="227" t="s">
        <v>103</v>
      </c>
      <c r="O13" s="194">
        <f>O12/(C36+C43)</f>
        <v>0.37818356559346467</v>
      </c>
      <c r="P13" s="194">
        <f>P12/(D36+D43)</f>
        <v>0.20528272855494295</v>
      </c>
      <c r="Q13" s="194">
        <f>Q12/(E36+E43)</f>
        <v>0.31240237425804435</v>
      </c>
      <c r="R13" s="186"/>
      <c r="S13" s="234"/>
      <c r="T13" s="34"/>
      <c r="U13" s="34"/>
      <c r="V13" s="34"/>
      <c r="W13" s="34"/>
      <c r="X13" s="34"/>
      <c r="Y13" s="34"/>
      <c r="Z13" s="34"/>
      <c r="AO13" s="36"/>
      <c r="AR13" s="32"/>
    </row>
    <row r="14" spans="1:44" s="35" customFormat="1" ht="28.5" customHeight="1" outlineLevel="1">
      <c r="A14" s="31"/>
      <c r="B14" s="100" t="s">
        <v>2</v>
      </c>
      <c r="C14" s="96">
        <v>625400</v>
      </c>
      <c r="D14" s="96">
        <v>730400</v>
      </c>
      <c r="E14" s="97">
        <v>1150900</v>
      </c>
      <c r="F14" s="80">
        <f t="shared" ref="F14:F21" si="8">(C14-E14)/E14</f>
        <v>-0.45659918324789295</v>
      </c>
      <c r="G14" s="81">
        <f t="shared" ref="G14:G21" si="9">(D14-E14)/E14</f>
        <v>-0.36536623512034061</v>
      </c>
      <c r="H14" s="82">
        <v>1</v>
      </c>
      <c r="I14" s="101">
        <f t="shared" ref="I14:K20" si="10">C14/C$20</f>
        <v>0.43722035794183445</v>
      </c>
      <c r="J14" s="101">
        <f t="shared" si="10"/>
        <v>0.33348552643594193</v>
      </c>
      <c r="K14" s="102">
        <f t="shared" si="10"/>
        <v>0.41849387295007456</v>
      </c>
      <c r="L14" s="34"/>
      <c r="M14" s="225"/>
      <c r="N14" s="229" t="s">
        <v>79</v>
      </c>
      <c r="O14" s="354">
        <f>O10/(C36+C43)</f>
        <v>0.56998695682021006</v>
      </c>
      <c r="P14" s="354">
        <f>P10/(D36+D43)</f>
        <v>0.72470829593537633</v>
      </c>
      <c r="Q14" s="354">
        <f>Q10/(E36+E43)</f>
        <v>0.59981255857544513</v>
      </c>
      <c r="R14" s="185"/>
      <c r="S14" s="22"/>
      <c r="T14" s="34"/>
      <c r="U14" s="34"/>
      <c r="V14" s="34"/>
      <c r="W14" s="34"/>
      <c r="X14" s="34"/>
      <c r="Y14" s="34"/>
      <c r="Z14" s="34"/>
      <c r="AO14" s="36"/>
      <c r="AR14" s="32"/>
    </row>
    <row r="15" spans="1:44" s="35" customFormat="1" ht="17.25" customHeight="1" outlineLevel="1">
      <c r="A15" s="31"/>
      <c r="B15" s="100" t="s">
        <v>13</v>
      </c>
      <c r="C15" s="96">
        <v>10000</v>
      </c>
      <c r="D15" s="96">
        <v>10500</v>
      </c>
      <c r="E15" s="97">
        <v>35400</v>
      </c>
      <c r="F15" s="80">
        <f t="shared" si="8"/>
        <v>-0.71751412429378536</v>
      </c>
      <c r="G15" s="81">
        <f t="shared" si="9"/>
        <v>-0.70338983050847459</v>
      </c>
      <c r="H15" s="82">
        <v>1</v>
      </c>
      <c r="I15" s="101">
        <f t="shared" si="10"/>
        <v>6.9910514541387022E-3</v>
      </c>
      <c r="J15" s="101">
        <f t="shared" si="10"/>
        <v>4.7940827321705784E-3</v>
      </c>
      <c r="K15" s="102">
        <f t="shared" si="10"/>
        <v>1.2872259190574888E-2</v>
      </c>
      <c r="L15" s="34"/>
      <c r="M15" s="224"/>
      <c r="N15" s="229" t="s">
        <v>80</v>
      </c>
      <c r="O15" s="354"/>
      <c r="P15" s="354"/>
      <c r="Q15" s="354"/>
      <c r="R15" s="186"/>
      <c r="S15" s="222"/>
      <c r="T15" s="34"/>
      <c r="U15" s="34"/>
      <c r="V15" s="34"/>
      <c r="W15" s="34"/>
      <c r="X15" s="34"/>
      <c r="Y15" s="34"/>
      <c r="Z15" s="34"/>
      <c r="AO15" s="36"/>
      <c r="AR15" s="32"/>
    </row>
    <row r="16" spans="1:44" s="35" customFormat="1" ht="28.5" customHeight="1" outlineLevel="1">
      <c r="A16" s="31"/>
      <c r="B16" s="100" t="s">
        <v>3</v>
      </c>
      <c r="C16" s="96">
        <v>760400</v>
      </c>
      <c r="D16" s="96">
        <v>1080300</v>
      </c>
      <c r="E16" s="97">
        <v>1110900</v>
      </c>
      <c r="F16" s="80">
        <f t="shared" si="8"/>
        <v>-0.31550994688990908</v>
      </c>
      <c r="G16" s="81">
        <f t="shared" si="9"/>
        <v>-2.7545233594382934E-2</v>
      </c>
      <c r="H16" s="82">
        <v>1</v>
      </c>
      <c r="I16" s="101">
        <f t="shared" si="10"/>
        <v>0.53159955257270697</v>
      </c>
      <c r="J16" s="101">
        <f t="shared" si="10"/>
        <v>0.49324262624417864</v>
      </c>
      <c r="K16" s="102">
        <f t="shared" si="10"/>
        <v>0.40394894731100689</v>
      </c>
      <c r="L16" s="34"/>
      <c r="M16" s="226" t="s">
        <v>87</v>
      </c>
      <c r="N16" s="226" t="s">
        <v>88</v>
      </c>
      <c r="O16" s="221">
        <f>C20-C43</f>
        <v>513700</v>
      </c>
      <c r="P16" s="220">
        <f>D20-D43</f>
        <v>1601300</v>
      </c>
      <c r="Q16" s="220">
        <f>E20-E43</f>
        <v>1910100</v>
      </c>
      <c r="R16" s="223" t="s">
        <v>81</v>
      </c>
      <c r="S16" s="201">
        <f>O16/P16</f>
        <v>0.32080184849809529</v>
      </c>
      <c r="T16" s="202">
        <f>P16/Q16:Q17</f>
        <v>0.83833307156693371</v>
      </c>
      <c r="U16" s="202">
        <v>1</v>
      </c>
      <c r="V16" s="34"/>
      <c r="W16" s="34"/>
      <c r="X16" s="34"/>
      <c r="Y16" s="34"/>
      <c r="Z16" s="34"/>
      <c r="AO16" s="36"/>
      <c r="AR16" s="32"/>
    </row>
    <row r="17" spans="1:44" s="35" customFormat="1" ht="36.75" customHeight="1" outlineLevel="1">
      <c r="A17" s="31"/>
      <c r="B17" s="150" t="s">
        <v>14</v>
      </c>
      <c r="C17" s="96">
        <v>30000</v>
      </c>
      <c r="D17" s="96">
        <v>366000</v>
      </c>
      <c r="E17" s="97">
        <v>450800</v>
      </c>
      <c r="F17" s="80">
        <f t="shared" si="8"/>
        <v>-0.93345164152617566</v>
      </c>
      <c r="G17" s="81">
        <f t="shared" si="9"/>
        <v>-0.1881100266193434</v>
      </c>
      <c r="H17" s="82">
        <v>1</v>
      </c>
      <c r="I17" s="101">
        <f t="shared" si="10"/>
        <v>2.0973154362416108E-2</v>
      </c>
      <c r="J17" s="101">
        <f t="shared" si="10"/>
        <v>0.16710802666423158</v>
      </c>
      <c r="K17" s="102">
        <f t="shared" si="10"/>
        <v>0.16392131195229265</v>
      </c>
      <c r="L17" s="34"/>
      <c r="M17" s="54"/>
      <c r="N17" s="55"/>
      <c r="O17" s="55"/>
      <c r="P17" s="55"/>
      <c r="Q17" s="55"/>
      <c r="R17" s="55"/>
      <c r="S17" s="219"/>
      <c r="T17" s="218"/>
      <c r="U17" s="218"/>
      <c r="V17" s="34"/>
      <c r="W17" s="34"/>
      <c r="X17" s="34"/>
      <c r="Y17" s="34"/>
      <c r="Z17" s="34"/>
      <c r="AO17" s="36"/>
      <c r="AR17" s="32"/>
    </row>
    <row r="18" spans="1:44" s="35" customFormat="1" ht="22.5" customHeight="1" outlineLevel="1">
      <c r="A18" s="31"/>
      <c r="B18" s="100" t="s">
        <v>164</v>
      </c>
      <c r="C18" s="96">
        <v>4000</v>
      </c>
      <c r="D18" s="96">
        <v>3000</v>
      </c>
      <c r="E18" s="97">
        <v>2000</v>
      </c>
      <c r="F18" s="80">
        <f t="shared" si="8"/>
        <v>1</v>
      </c>
      <c r="G18" s="81">
        <f t="shared" si="9"/>
        <v>0.5</v>
      </c>
      <c r="H18" s="82">
        <v>1</v>
      </c>
      <c r="I18" s="101">
        <f t="shared" si="10"/>
        <v>2.7964205816554811E-3</v>
      </c>
      <c r="J18" s="101">
        <f t="shared" si="10"/>
        <v>1.3697379234773081E-3</v>
      </c>
      <c r="K18" s="102">
        <f t="shared" si="10"/>
        <v>7.2724628195338346E-4</v>
      </c>
      <c r="L18" s="34"/>
      <c r="M18" s="23"/>
      <c r="N18" s="23"/>
      <c r="O18" s="23"/>
      <c r="P18" s="70"/>
      <c r="Q18" s="70"/>
      <c r="R18" s="70"/>
      <c r="S18" s="23"/>
      <c r="T18" s="34"/>
      <c r="U18" s="34"/>
      <c r="V18" s="34"/>
      <c r="W18" s="34"/>
      <c r="X18" s="34"/>
      <c r="Y18" s="34"/>
      <c r="Z18" s="34"/>
      <c r="AO18" s="36"/>
      <c r="AR18" s="32"/>
    </row>
    <row r="19" spans="1:44" s="35" customFormat="1" ht="21" customHeight="1">
      <c r="A19" s="31"/>
      <c r="B19" s="100" t="s">
        <v>15</v>
      </c>
      <c r="C19" s="96">
        <v>600</v>
      </c>
      <c r="D19" s="96">
        <v>0</v>
      </c>
      <c r="E19" s="97">
        <v>100</v>
      </c>
      <c r="F19" s="80">
        <f t="shared" si="8"/>
        <v>5</v>
      </c>
      <c r="G19" s="81">
        <f t="shared" si="9"/>
        <v>-1</v>
      </c>
      <c r="H19" s="82">
        <v>1</v>
      </c>
      <c r="I19" s="101">
        <f t="shared" si="10"/>
        <v>4.1946308724832214E-4</v>
      </c>
      <c r="J19" s="101">
        <f t="shared" si="10"/>
        <v>0</v>
      </c>
      <c r="K19" s="102">
        <f t="shared" si="10"/>
        <v>3.6362314097669174E-5</v>
      </c>
      <c r="L19" s="34"/>
      <c r="M19" s="23"/>
      <c r="N19" s="23"/>
      <c r="O19" s="23"/>
      <c r="P19" s="70"/>
      <c r="Q19" s="70"/>
      <c r="R19" s="70"/>
      <c r="S19" s="23"/>
      <c r="T19" s="34"/>
      <c r="U19" s="34"/>
      <c r="V19" s="34"/>
      <c r="W19" s="34"/>
      <c r="X19" s="34"/>
      <c r="Y19" s="34"/>
      <c r="Z19" s="34"/>
      <c r="AM19" s="37"/>
      <c r="AN19" s="36"/>
      <c r="AR19" s="32"/>
    </row>
    <row r="20" spans="1:44" s="41" customFormat="1" ht="19.5" customHeight="1">
      <c r="A20" s="38"/>
      <c r="B20" s="95" t="s">
        <v>16</v>
      </c>
      <c r="C20" s="103">
        <f>SUM(C14:C19)</f>
        <v>1430400</v>
      </c>
      <c r="D20" s="103">
        <f>SUM(D14:D19)</f>
        <v>2190200</v>
      </c>
      <c r="E20" s="104">
        <f>SUM(E14:E19)</f>
        <v>2750100</v>
      </c>
      <c r="F20" s="83">
        <f t="shared" si="8"/>
        <v>-0.47987345914694013</v>
      </c>
      <c r="G20" s="84">
        <f t="shared" si="9"/>
        <v>-0.2035925966328497</v>
      </c>
      <c r="H20" s="82">
        <v>1</v>
      </c>
      <c r="I20" s="101">
        <f t="shared" si="10"/>
        <v>1</v>
      </c>
      <c r="J20" s="101">
        <f t="shared" si="10"/>
        <v>1</v>
      </c>
      <c r="K20" s="102">
        <f t="shared" si="10"/>
        <v>1</v>
      </c>
      <c r="L20" s="42"/>
      <c r="M20" s="23"/>
      <c r="N20" s="23"/>
      <c r="O20" s="23"/>
      <c r="P20" s="70"/>
      <c r="Q20" s="70"/>
      <c r="R20" s="70"/>
      <c r="S20" s="23"/>
      <c r="T20" s="42"/>
      <c r="U20" s="42"/>
      <c r="V20" s="42"/>
      <c r="W20" s="42"/>
      <c r="X20" s="42"/>
      <c r="Y20" s="42"/>
      <c r="Z20" s="42"/>
      <c r="AM20" s="43"/>
      <c r="AR20" s="39"/>
    </row>
    <row r="21" spans="1:44" s="41" customFormat="1" ht="24" customHeight="1" thickBot="1">
      <c r="A21" s="38"/>
      <c r="B21" s="105" t="s">
        <v>17</v>
      </c>
      <c r="C21" s="106">
        <f>C12+C20</f>
        <v>5200700</v>
      </c>
      <c r="D21" s="106">
        <f t="shared" ref="D21" si="11">D12+D20</f>
        <v>4760400</v>
      </c>
      <c r="E21" s="106">
        <f>E12+E20</f>
        <v>5400900</v>
      </c>
      <c r="F21" s="107">
        <f t="shared" si="8"/>
        <v>-3.7067896091392175E-2</v>
      </c>
      <c r="G21" s="108">
        <f t="shared" si="9"/>
        <v>-0.11859134588679665</v>
      </c>
      <c r="H21" s="109">
        <v>1</v>
      </c>
      <c r="I21" s="110"/>
      <c r="J21" s="110"/>
      <c r="K21" s="111"/>
      <c r="L21" s="40"/>
      <c r="M21" s="56"/>
      <c r="N21" s="57"/>
      <c r="O21" s="57"/>
      <c r="P21" s="57"/>
      <c r="Q21" s="57"/>
      <c r="R21" s="57"/>
      <c r="S21" s="58"/>
      <c r="T21" s="40"/>
      <c r="U21" s="40"/>
      <c r="V21" s="40"/>
      <c r="W21" s="40"/>
      <c r="X21" s="40"/>
      <c r="Y21" s="40"/>
      <c r="Z21" s="40"/>
      <c r="AO21" s="39"/>
      <c r="AR21" s="39"/>
    </row>
    <row r="22" spans="1:44" s="41" customFormat="1" ht="16.5" thickBot="1">
      <c r="A22" s="38"/>
      <c r="B22" s="39"/>
      <c r="C22" s="47"/>
      <c r="D22" s="47"/>
      <c r="E22" s="47"/>
      <c r="F22" s="73"/>
      <c r="G22" s="74"/>
      <c r="H22" s="72"/>
      <c r="I22" s="74"/>
      <c r="J22" s="74"/>
      <c r="K22" s="74"/>
      <c r="L22" s="40"/>
      <c r="M22" s="48"/>
      <c r="N22" s="48"/>
      <c r="O22" s="48"/>
      <c r="P22" s="51"/>
      <c r="Q22" s="50"/>
      <c r="R22" s="50"/>
      <c r="S22" s="48"/>
      <c r="T22" s="40"/>
      <c r="U22" s="40"/>
      <c r="V22" s="40"/>
      <c r="W22" s="40"/>
      <c r="X22" s="40"/>
      <c r="Y22" s="40"/>
      <c r="Z22" s="40"/>
      <c r="AO22" s="39"/>
      <c r="AR22" s="39"/>
    </row>
    <row r="23" spans="1:44" s="35" customFormat="1" ht="16.5" thickTop="1">
      <c r="A23" s="31"/>
      <c r="B23" s="122" t="s">
        <v>18</v>
      </c>
      <c r="C23" s="117" t="s">
        <v>170</v>
      </c>
      <c r="D23" s="117" t="s">
        <v>169</v>
      </c>
      <c r="E23" s="118" t="s">
        <v>50</v>
      </c>
      <c r="F23" s="348" t="s">
        <v>54</v>
      </c>
      <c r="G23" s="349"/>
      <c r="H23" s="349"/>
      <c r="I23" s="350" t="s">
        <v>55</v>
      </c>
      <c r="J23" s="351"/>
      <c r="K23" s="352"/>
      <c r="L23" s="34"/>
      <c r="M23" s="48"/>
      <c r="N23" s="48"/>
      <c r="O23" s="48"/>
      <c r="P23" s="52"/>
      <c r="Q23" s="52"/>
      <c r="R23" s="52"/>
      <c r="S23" s="48"/>
      <c r="T23" s="34"/>
      <c r="U23" s="34"/>
      <c r="V23" s="34"/>
      <c r="W23" s="34"/>
      <c r="X23" s="34"/>
      <c r="Y23" s="34"/>
      <c r="Z23" s="34"/>
      <c r="AO23" s="32"/>
      <c r="AR23" s="32"/>
    </row>
    <row r="24" spans="1:44" s="35" customFormat="1" ht="34.5" customHeight="1">
      <c r="A24" s="31"/>
      <c r="B24" s="123" t="s">
        <v>19</v>
      </c>
      <c r="C24" s="115" t="s">
        <v>170</v>
      </c>
      <c r="D24" s="115" t="s">
        <v>169</v>
      </c>
      <c r="E24" s="116" t="s">
        <v>50</v>
      </c>
      <c r="F24" s="112" t="s">
        <v>172</v>
      </c>
      <c r="G24" s="113" t="s">
        <v>173</v>
      </c>
      <c r="H24" s="114" t="s">
        <v>174</v>
      </c>
      <c r="I24" s="119" t="s">
        <v>175</v>
      </c>
      <c r="J24" s="120" t="s">
        <v>176</v>
      </c>
      <c r="K24" s="121" t="s">
        <v>51</v>
      </c>
      <c r="L24" s="34"/>
      <c r="M24" s="48"/>
      <c r="N24" s="48"/>
      <c r="O24" s="48"/>
      <c r="P24" s="49"/>
      <c r="Q24" s="49"/>
      <c r="R24" s="49"/>
      <c r="S24" s="48"/>
      <c r="T24" s="34"/>
      <c r="U24" s="34"/>
      <c r="V24" s="34"/>
      <c r="W24" s="34"/>
      <c r="X24" s="34"/>
      <c r="Y24" s="34"/>
      <c r="Z24" s="34"/>
      <c r="AO24" s="32"/>
      <c r="AR24" s="32"/>
    </row>
    <row r="25" spans="1:44" s="35" customFormat="1" ht="27" customHeight="1">
      <c r="A25" s="31"/>
      <c r="B25" s="124" t="s">
        <v>165</v>
      </c>
      <c r="C25" s="125">
        <v>450600</v>
      </c>
      <c r="D25" s="125">
        <v>450600</v>
      </c>
      <c r="E25" s="126">
        <v>450600</v>
      </c>
      <c r="F25" s="75">
        <f t="shared" ref="F25:F36" si="12">(C25-E25)/E25</f>
        <v>0</v>
      </c>
      <c r="G25" s="76">
        <f t="shared" ref="G25:G36" si="13">(D25-E25)/E25</f>
        <v>0</v>
      </c>
      <c r="H25" s="77">
        <v>1</v>
      </c>
      <c r="I25" s="139">
        <f t="shared" ref="I25:K31" si="14">C25/C$31</f>
        <v>0.12035256410256411</v>
      </c>
      <c r="J25" s="139">
        <f t="shared" si="14"/>
        <v>0.14078610260576141</v>
      </c>
      <c r="K25" s="140">
        <f t="shared" si="14"/>
        <v>0.11856646668771709</v>
      </c>
      <c r="L25" s="34"/>
      <c r="M25" s="48"/>
      <c r="N25" s="48"/>
      <c r="O25" s="48"/>
      <c r="P25" s="49"/>
      <c r="Q25" s="49"/>
      <c r="R25" s="49"/>
      <c r="S25" s="48"/>
      <c r="T25" s="34"/>
      <c r="U25" s="34"/>
      <c r="V25" s="34"/>
      <c r="W25" s="34"/>
      <c r="X25" s="34"/>
      <c r="Y25" s="34"/>
      <c r="Z25" s="34"/>
      <c r="AO25" s="32"/>
      <c r="AR25" s="32"/>
    </row>
    <row r="26" spans="1:44" s="35" customFormat="1" ht="22.5" customHeight="1">
      <c r="A26" s="31"/>
      <c r="B26" s="127" t="s">
        <v>20</v>
      </c>
      <c r="C26" s="128">
        <v>0</v>
      </c>
      <c r="D26" s="128">
        <v>0</v>
      </c>
      <c r="E26" s="129">
        <v>0</v>
      </c>
      <c r="F26" s="75"/>
      <c r="G26" s="76"/>
      <c r="H26" s="77">
        <v>1</v>
      </c>
      <c r="I26" s="139">
        <f t="shared" si="14"/>
        <v>0</v>
      </c>
      <c r="J26" s="139">
        <f t="shared" si="14"/>
        <v>0</v>
      </c>
      <c r="K26" s="140">
        <f t="shared" si="14"/>
        <v>0</v>
      </c>
      <c r="L26" s="33"/>
      <c r="M26" s="48"/>
      <c r="N26" s="48"/>
      <c r="O26" s="48"/>
      <c r="P26" s="50"/>
      <c r="Q26" s="50"/>
      <c r="R26" s="50"/>
      <c r="S26" s="48"/>
      <c r="T26" s="33"/>
      <c r="U26" s="33"/>
      <c r="V26" s="33"/>
      <c r="W26" s="33"/>
      <c r="X26" s="33"/>
      <c r="Y26" s="33"/>
      <c r="Z26" s="33"/>
      <c r="AO26" s="32"/>
      <c r="AR26" s="32"/>
    </row>
    <row r="27" spans="1:44" s="35" customFormat="1" ht="18.75" customHeight="1">
      <c r="A27" s="31"/>
      <c r="B27" s="127" t="s">
        <v>21</v>
      </c>
      <c r="C27" s="128">
        <v>28400</v>
      </c>
      <c r="D27" s="128">
        <v>25000</v>
      </c>
      <c r="E27" s="126">
        <v>24800</v>
      </c>
      <c r="F27" s="75">
        <f t="shared" si="12"/>
        <v>0.14516129032258066</v>
      </c>
      <c r="G27" s="76">
        <f t="shared" si="13"/>
        <v>8.0645161290322578E-3</v>
      </c>
      <c r="H27" s="77">
        <v>1</v>
      </c>
      <c r="I27" s="139">
        <f t="shared" si="14"/>
        <v>7.5854700854700854E-3</v>
      </c>
      <c r="J27" s="139">
        <f t="shared" si="14"/>
        <v>7.811035430856714E-3</v>
      </c>
      <c r="K27" s="140">
        <f t="shared" si="14"/>
        <v>6.5256288811704035E-3</v>
      </c>
      <c r="L27" s="34"/>
      <c r="M27" s="48"/>
      <c r="N27" s="48"/>
      <c r="O27" s="48"/>
      <c r="P27" s="50"/>
      <c r="Q27" s="50"/>
      <c r="R27" s="50"/>
      <c r="S27" s="48"/>
      <c r="T27" s="34"/>
      <c r="U27" s="34"/>
      <c r="V27" s="34"/>
      <c r="W27" s="34"/>
      <c r="X27" s="34"/>
      <c r="Y27" s="34"/>
      <c r="Z27" s="34"/>
      <c r="AO27" s="32"/>
      <c r="AR27" s="32"/>
    </row>
    <row r="28" spans="1:44" s="35" customFormat="1" ht="23.25" customHeight="1">
      <c r="A28" s="31"/>
      <c r="B28" s="127" t="s">
        <v>22</v>
      </c>
      <c r="C28" s="128">
        <v>1500000</v>
      </c>
      <c r="D28" s="128">
        <v>1500000</v>
      </c>
      <c r="E28" s="129">
        <v>1500000</v>
      </c>
      <c r="F28" s="75">
        <f t="shared" si="12"/>
        <v>0</v>
      </c>
      <c r="G28" s="76">
        <f t="shared" si="13"/>
        <v>0</v>
      </c>
      <c r="H28" s="77">
        <v>1</v>
      </c>
      <c r="I28" s="139">
        <f t="shared" si="14"/>
        <v>0.40064102564102566</v>
      </c>
      <c r="J28" s="139">
        <f t="shared" si="14"/>
        <v>0.46866212585140288</v>
      </c>
      <c r="K28" s="140">
        <f t="shared" si="14"/>
        <v>0.39469529523208086</v>
      </c>
      <c r="L28" s="34"/>
      <c r="M28" s="48"/>
      <c r="N28" s="48"/>
      <c r="O28" s="48"/>
      <c r="P28" s="49"/>
      <c r="Q28" s="49"/>
      <c r="R28" s="49"/>
      <c r="S28" s="48"/>
      <c r="T28" s="34"/>
      <c r="U28" s="34"/>
      <c r="V28" s="34"/>
      <c r="W28" s="34"/>
      <c r="X28" s="34"/>
      <c r="Y28" s="34"/>
      <c r="Z28" s="34"/>
      <c r="AO28" s="32"/>
      <c r="AR28" s="32"/>
    </row>
    <row r="29" spans="1:44">
      <c r="A29" s="31"/>
      <c r="B29" s="127" t="s">
        <v>23</v>
      </c>
      <c r="C29" s="128">
        <v>65000</v>
      </c>
      <c r="D29" s="128">
        <v>65000</v>
      </c>
      <c r="E29" s="129">
        <v>65000</v>
      </c>
      <c r="F29" s="75">
        <f t="shared" si="12"/>
        <v>0</v>
      </c>
      <c r="G29" s="76">
        <f t="shared" si="13"/>
        <v>0</v>
      </c>
      <c r="H29" s="77">
        <v>1</v>
      </c>
      <c r="I29" s="139">
        <f t="shared" si="14"/>
        <v>1.7361111111111112E-2</v>
      </c>
      <c r="J29" s="139">
        <f t="shared" si="14"/>
        <v>2.0308692120227456E-2</v>
      </c>
      <c r="K29" s="140">
        <f t="shared" si="14"/>
        <v>1.7103462793390169E-2</v>
      </c>
      <c r="L29" s="68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7"/>
    </row>
    <row r="30" spans="1:44">
      <c r="A30" s="31"/>
      <c r="B30" s="127" t="s">
        <v>24</v>
      </c>
      <c r="C30" s="128">
        <v>1700000</v>
      </c>
      <c r="D30" s="128">
        <v>1160000</v>
      </c>
      <c r="E30" s="129">
        <v>1760000</v>
      </c>
      <c r="F30" s="75">
        <f t="shared" si="12"/>
        <v>-3.4090909090909088E-2</v>
      </c>
      <c r="G30" s="76">
        <f t="shared" si="13"/>
        <v>-0.34090909090909088</v>
      </c>
      <c r="H30" s="77">
        <v>1</v>
      </c>
      <c r="I30" s="139">
        <f t="shared" si="14"/>
        <v>0.45405982905982906</v>
      </c>
      <c r="J30" s="139">
        <f t="shared" si="14"/>
        <v>0.36243204399175155</v>
      </c>
      <c r="K30" s="140">
        <f t="shared" si="14"/>
        <v>0.46310914640564149</v>
      </c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7"/>
    </row>
    <row r="31" spans="1:44">
      <c r="A31" s="31"/>
      <c r="B31" s="130" t="s">
        <v>28</v>
      </c>
      <c r="C31" s="131">
        <f>SUM(C25:C30)</f>
        <v>3744000</v>
      </c>
      <c r="D31" s="131">
        <f>SUM(D25:D30)</f>
        <v>3200600</v>
      </c>
      <c r="E31" s="132">
        <f>SUM(E25:E30)</f>
        <v>3800400</v>
      </c>
      <c r="F31" s="75">
        <f t="shared" si="12"/>
        <v>-1.4840543100726239E-2</v>
      </c>
      <c r="G31" s="76">
        <f t="shared" si="13"/>
        <v>-0.15782549205346805</v>
      </c>
      <c r="H31" s="77">
        <v>1</v>
      </c>
      <c r="I31" s="139">
        <f t="shared" si="14"/>
        <v>1</v>
      </c>
      <c r="J31" s="139">
        <f t="shared" si="14"/>
        <v>1</v>
      </c>
      <c r="K31" s="140">
        <f t="shared" si="14"/>
        <v>1</v>
      </c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7"/>
    </row>
    <row r="32" spans="1:44">
      <c r="A32" s="31"/>
      <c r="B32" s="133" t="s">
        <v>25</v>
      </c>
      <c r="C32" s="134"/>
      <c r="D32" s="135"/>
      <c r="E32" s="136"/>
      <c r="F32" s="75"/>
      <c r="G32" s="76"/>
      <c r="H32" s="77"/>
      <c r="I32" s="139"/>
      <c r="J32" s="139"/>
      <c r="K32" s="140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7"/>
    </row>
    <row r="33" spans="1:44">
      <c r="A33" s="31"/>
      <c r="B33" s="124" t="s">
        <v>26</v>
      </c>
      <c r="C33" s="125">
        <v>500000</v>
      </c>
      <c r="D33" s="125">
        <v>900000</v>
      </c>
      <c r="E33" s="126">
        <v>670000</v>
      </c>
      <c r="F33" s="75">
        <f t="shared" si="12"/>
        <v>-0.2537313432835821</v>
      </c>
      <c r="G33" s="76">
        <f t="shared" si="13"/>
        <v>0.34328358208955223</v>
      </c>
      <c r="H33" s="77">
        <v>1</v>
      </c>
      <c r="I33" s="139">
        <f t="shared" ref="I33:K36" si="15">C33/C$36</f>
        <v>0.92592592592592593</v>
      </c>
      <c r="J33" s="139">
        <f t="shared" si="15"/>
        <v>0.9269749716757647</v>
      </c>
      <c r="K33" s="140">
        <f t="shared" si="15"/>
        <v>0.8809993425378041</v>
      </c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7"/>
    </row>
    <row r="34" spans="1:44">
      <c r="A34" s="31"/>
      <c r="B34" s="127" t="s">
        <v>27</v>
      </c>
      <c r="C34" s="128">
        <v>40000</v>
      </c>
      <c r="D34" s="128">
        <v>60900</v>
      </c>
      <c r="E34" s="129">
        <v>70500</v>
      </c>
      <c r="F34" s="75">
        <f t="shared" si="12"/>
        <v>-0.43262411347517732</v>
      </c>
      <c r="G34" s="76">
        <f t="shared" si="13"/>
        <v>-0.13617021276595745</v>
      </c>
      <c r="H34" s="77">
        <v>1</v>
      </c>
      <c r="I34" s="139">
        <f t="shared" si="15"/>
        <v>7.407407407407407E-2</v>
      </c>
      <c r="J34" s="139">
        <f t="shared" si="15"/>
        <v>6.2725306416726745E-2</v>
      </c>
      <c r="K34" s="140">
        <f t="shared" si="15"/>
        <v>9.270216962524655E-2</v>
      </c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7"/>
    </row>
    <row r="35" spans="1:44">
      <c r="A35" s="31"/>
      <c r="B35" s="124" t="s">
        <v>52</v>
      </c>
      <c r="C35" s="128">
        <v>0</v>
      </c>
      <c r="D35" s="128">
        <v>10000</v>
      </c>
      <c r="E35" s="129">
        <v>20000</v>
      </c>
      <c r="F35" s="75">
        <f t="shared" si="12"/>
        <v>-1</v>
      </c>
      <c r="G35" s="76">
        <f t="shared" si="13"/>
        <v>-0.5</v>
      </c>
      <c r="H35" s="77">
        <v>1</v>
      </c>
      <c r="I35" s="139">
        <f t="shared" si="15"/>
        <v>0</v>
      </c>
      <c r="J35" s="139">
        <f t="shared" si="15"/>
        <v>1.0299721907508497E-2</v>
      </c>
      <c r="K35" s="140">
        <f t="shared" si="15"/>
        <v>2.6298487836949377E-2</v>
      </c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7"/>
    </row>
    <row r="36" spans="1:44">
      <c r="A36" s="31"/>
      <c r="B36" s="130" t="s">
        <v>29</v>
      </c>
      <c r="C36" s="131">
        <f>SUM(C33:C35)</f>
        <v>540000</v>
      </c>
      <c r="D36" s="131">
        <f>SUM(D33:D35)</f>
        <v>970900</v>
      </c>
      <c r="E36" s="132">
        <f>SUM(E33:E35)</f>
        <v>760500</v>
      </c>
      <c r="F36" s="75">
        <f t="shared" si="12"/>
        <v>-0.28994082840236685</v>
      </c>
      <c r="G36" s="76">
        <f t="shared" si="13"/>
        <v>0.27666009204470743</v>
      </c>
      <c r="H36" s="77">
        <v>1</v>
      </c>
      <c r="I36" s="139">
        <f t="shared" si="15"/>
        <v>1</v>
      </c>
      <c r="J36" s="139">
        <f t="shared" si="15"/>
        <v>1</v>
      </c>
      <c r="K36" s="140">
        <f t="shared" si="15"/>
        <v>1</v>
      </c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7"/>
    </row>
    <row r="37" spans="1:44">
      <c r="A37" s="31"/>
      <c r="B37" s="133" t="s">
        <v>30</v>
      </c>
      <c r="C37" s="134"/>
      <c r="D37" s="135"/>
      <c r="E37" s="136"/>
      <c r="F37" s="145"/>
      <c r="G37" s="146"/>
      <c r="H37" s="77"/>
      <c r="I37" s="141"/>
      <c r="J37" s="141"/>
      <c r="K37" s="142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7"/>
    </row>
    <row r="38" spans="1:44" s="3" customFormat="1">
      <c r="A38" s="31"/>
      <c r="B38" s="124" t="s">
        <v>26</v>
      </c>
      <c r="C38" s="125">
        <v>330300</v>
      </c>
      <c r="D38" s="125">
        <v>230400</v>
      </c>
      <c r="E38" s="126">
        <v>290000</v>
      </c>
      <c r="F38" s="75">
        <f t="shared" ref="F38:F44" si="16">(C38-E38)/E38</f>
        <v>0.13896551724137932</v>
      </c>
      <c r="G38" s="76">
        <f t="shared" ref="G38:G44" si="17">(D38-E38)/E38</f>
        <v>-0.20551724137931035</v>
      </c>
      <c r="H38" s="77">
        <v>1</v>
      </c>
      <c r="I38" s="139">
        <f t="shared" ref="I38:K43" si="18">C38/C$43</f>
        <v>0.36031417039380387</v>
      </c>
      <c r="J38" s="139">
        <f t="shared" si="18"/>
        <v>0.39123790117167601</v>
      </c>
      <c r="K38" s="140">
        <f t="shared" si="18"/>
        <v>0.34523809523809523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/>
      <c r="AB38"/>
      <c r="AC38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41"/>
    </row>
    <row r="39" spans="1:44">
      <c r="A39" s="31"/>
      <c r="B39" s="124" t="s">
        <v>101</v>
      </c>
      <c r="C39" s="128">
        <v>550900</v>
      </c>
      <c r="D39" s="128">
        <v>320200</v>
      </c>
      <c r="E39" s="129">
        <v>500000</v>
      </c>
      <c r="F39" s="75">
        <f t="shared" si="16"/>
        <v>0.1018</v>
      </c>
      <c r="G39" s="76">
        <f t="shared" si="17"/>
        <v>-0.35959999999999998</v>
      </c>
      <c r="H39" s="77">
        <v>1</v>
      </c>
      <c r="I39" s="139">
        <f t="shared" si="18"/>
        <v>0.60095996509217842</v>
      </c>
      <c r="J39" s="139">
        <f t="shared" si="18"/>
        <v>0.54372559008320598</v>
      </c>
      <c r="K39" s="140">
        <f t="shared" si="18"/>
        <v>0.59523809523809523</v>
      </c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7"/>
    </row>
    <row r="40" spans="1:44" s="44" customFormat="1">
      <c r="A40" s="31"/>
      <c r="B40" s="127" t="s">
        <v>31</v>
      </c>
      <c r="C40" s="128">
        <v>0</v>
      </c>
      <c r="D40" s="128">
        <v>0</v>
      </c>
      <c r="E40" s="129">
        <v>0</v>
      </c>
      <c r="F40" s="75"/>
      <c r="G40" s="76"/>
      <c r="H40" s="77">
        <v>1</v>
      </c>
      <c r="I40" s="139">
        <f t="shared" si="18"/>
        <v>0</v>
      </c>
      <c r="J40" s="139">
        <f t="shared" si="18"/>
        <v>0</v>
      </c>
      <c r="K40" s="140">
        <f t="shared" si="18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O40" s="7"/>
      <c r="AR40" s="7"/>
    </row>
    <row r="41" spans="1:44">
      <c r="A41" s="31"/>
      <c r="B41" s="124" t="s">
        <v>52</v>
      </c>
      <c r="C41" s="128">
        <v>35500</v>
      </c>
      <c r="D41" s="128">
        <v>38300</v>
      </c>
      <c r="E41" s="129">
        <v>50000</v>
      </c>
      <c r="F41" s="75">
        <f t="shared" si="16"/>
        <v>-0.28999999999999998</v>
      </c>
      <c r="G41" s="76">
        <f t="shared" si="17"/>
        <v>-0.23400000000000001</v>
      </c>
      <c r="H41" s="77">
        <v>1</v>
      </c>
      <c r="I41" s="139">
        <f t="shared" si="18"/>
        <v>3.8725864514017674E-2</v>
      </c>
      <c r="J41" s="139">
        <f t="shared" si="18"/>
        <v>6.5036508745118016E-2</v>
      </c>
      <c r="K41" s="140">
        <f t="shared" si="18"/>
        <v>5.9523809523809521E-2</v>
      </c>
    </row>
    <row r="42" spans="1:44">
      <c r="A42" s="31"/>
      <c r="B42" s="124" t="s">
        <v>166</v>
      </c>
      <c r="C42" s="128">
        <v>0</v>
      </c>
      <c r="D42" s="128">
        <v>0</v>
      </c>
      <c r="E42" s="129">
        <v>0</v>
      </c>
      <c r="F42" s="75"/>
      <c r="G42" s="76"/>
      <c r="H42" s="77">
        <v>1</v>
      </c>
      <c r="I42" s="139">
        <f t="shared" si="18"/>
        <v>0</v>
      </c>
      <c r="J42" s="139">
        <f t="shared" si="18"/>
        <v>0</v>
      </c>
      <c r="K42" s="140">
        <f t="shared" si="18"/>
        <v>0</v>
      </c>
    </row>
    <row r="43" spans="1:44">
      <c r="A43" s="31"/>
      <c r="B43" s="130" t="s">
        <v>86</v>
      </c>
      <c r="C43" s="131">
        <f>SUM(C38:C42)</f>
        <v>916700</v>
      </c>
      <c r="D43" s="131">
        <f>SUM(D38:D42)</f>
        <v>588900</v>
      </c>
      <c r="E43" s="132">
        <f>SUM(E38:E42)</f>
        <v>840000</v>
      </c>
      <c r="F43" s="78">
        <f t="shared" si="16"/>
        <v>9.1309523809523813E-2</v>
      </c>
      <c r="G43" s="79">
        <f t="shared" si="17"/>
        <v>-0.29892857142857143</v>
      </c>
      <c r="H43" s="77">
        <v>1</v>
      </c>
      <c r="I43" s="139">
        <f t="shared" si="18"/>
        <v>1</v>
      </c>
      <c r="J43" s="139">
        <f t="shared" si="18"/>
        <v>1</v>
      </c>
      <c r="K43" s="140">
        <f t="shared" si="18"/>
        <v>1</v>
      </c>
    </row>
    <row r="44" spans="1:44" ht="16.5" thickBot="1">
      <c r="A44" s="31"/>
      <c r="B44" s="137" t="s">
        <v>17</v>
      </c>
      <c r="C44" s="138">
        <f>C31+C36+C43</f>
        <v>5200700</v>
      </c>
      <c r="D44" s="138">
        <f>D31+D36+D43</f>
        <v>4760400</v>
      </c>
      <c r="E44" s="138">
        <f>E31+E36+E43</f>
        <v>5400900</v>
      </c>
      <c r="F44" s="147">
        <f t="shared" si="16"/>
        <v>-3.7067896091392175E-2</v>
      </c>
      <c r="G44" s="148">
        <f t="shared" si="17"/>
        <v>-0.11859134588679665</v>
      </c>
      <c r="H44" s="149">
        <v>1</v>
      </c>
      <c r="I44" s="143"/>
      <c r="J44" s="143"/>
      <c r="K44" s="144"/>
    </row>
    <row r="45" spans="1:44" ht="16.5" thickTop="1">
      <c r="A45" s="31"/>
    </row>
    <row r="46" spans="1:44" ht="21" customHeight="1">
      <c r="A46" s="31"/>
    </row>
    <row r="47" spans="1:44" ht="27" customHeight="1">
      <c r="F47" s="10"/>
      <c r="Q47"/>
      <c r="R47"/>
      <c r="S47"/>
      <c r="T47"/>
      <c r="U47"/>
      <c r="V47"/>
      <c r="W47"/>
      <c r="X47"/>
      <c r="Y47"/>
      <c r="Z47"/>
      <c r="AD47" s="7"/>
      <c r="AE47" s="7"/>
      <c r="AH47" s="7"/>
      <c r="AN47"/>
      <c r="AO47"/>
      <c r="AR47"/>
    </row>
    <row r="48" spans="1:44" ht="19.5" customHeight="1" thickBot="1">
      <c r="B48" s="59" t="s">
        <v>34</v>
      </c>
      <c r="C48" s="45"/>
      <c r="D48" s="45"/>
      <c r="E48" s="45" t="s">
        <v>41</v>
      </c>
      <c r="F48" s="10"/>
      <c r="Q48"/>
      <c r="R48"/>
      <c r="S48"/>
      <c r="T48"/>
      <c r="U48"/>
      <c r="V48"/>
      <c r="W48"/>
      <c r="X48"/>
      <c r="Y48"/>
      <c r="Z48"/>
      <c r="AD48" s="7"/>
      <c r="AE48" s="7"/>
      <c r="AH48" s="7"/>
      <c r="AN48"/>
      <c r="AO48"/>
      <c r="AR48"/>
    </row>
    <row r="49" spans="2:44" ht="28.5" customHeight="1" thickBot="1">
      <c r="B49" s="209" t="s">
        <v>35</v>
      </c>
      <c r="C49" s="355" t="s">
        <v>149</v>
      </c>
      <c r="D49" s="356"/>
      <c r="E49" s="357"/>
      <c r="F49" s="10"/>
      <c r="H49" s="302" t="s">
        <v>178</v>
      </c>
      <c r="I49" s="303">
        <v>2017</v>
      </c>
      <c r="J49" s="303">
        <v>2016</v>
      </c>
      <c r="Q49"/>
      <c r="R49"/>
      <c r="S49"/>
      <c r="T49"/>
      <c r="U49"/>
      <c r="V49"/>
      <c r="W49"/>
      <c r="X49"/>
      <c r="Y49"/>
      <c r="Z49"/>
      <c r="AD49" s="7"/>
      <c r="AE49" s="7"/>
      <c r="AH49" s="7"/>
      <c r="AN49"/>
      <c r="AO49"/>
      <c r="AR49"/>
    </row>
    <row r="50" spans="2:44" ht="31.5" customHeight="1" thickBot="1">
      <c r="B50" s="209"/>
      <c r="C50" s="299" t="s">
        <v>170</v>
      </c>
      <c r="D50" s="299" t="s">
        <v>169</v>
      </c>
      <c r="E50" s="300" t="s">
        <v>50</v>
      </c>
      <c r="F50" s="10"/>
      <c r="H50" s="304" t="s">
        <v>179</v>
      </c>
      <c r="I50" s="309">
        <f>C51/((C21+D21)/2)</f>
        <v>0.96892029996687112</v>
      </c>
      <c r="J50" s="309">
        <f>D51/((D21+E21)/2)</f>
        <v>1.0003186600139746</v>
      </c>
      <c r="Q50"/>
      <c r="R50"/>
      <c r="S50"/>
      <c r="T50"/>
      <c r="U50"/>
      <c r="V50"/>
      <c r="W50"/>
      <c r="X50"/>
      <c r="Y50"/>
      <c r="Z50"/>
      <c r="AD50" s="7"/>
      <c r="AE50" s="7"/>
      <c r="AH50" s="7"/>
      <c r="AN50"/>
      <c r="AO50"/>
      <c r="AR50"/>
    </row>
    <row r="51" spans="2:44" ht="16.5" thickBot="1">
      <c r="B51" s="208" t="s">
        <v>36</v>
      </c>
      <c r="C51" s="207">
        <v>4825756</v>
      </c>
      <c r="D51" s="207">
        <v>5082269</v>
      </c>
      <c r="E51" s="207">
        <v>5595561</v>
      </c>
      <c r="F51" s="10"/>
      <c r="H51" s="304" t="s">
        <v>180</v>
      </c>
      <c r="I51" s="310">
        <f>365/I50</f>
        <v>376.70797073038921</v>
      </c>
      <c r="J51" s="310">
        <f>365/J50</f>
        <v>364.88372614672699</v>
      </c>
      <c r="Q51"/>
      <c r="R51"/>
      <c r="S51"/>
      <c r="T51"/>
      <c r="U51"/>
      <c r="V51"/>
      <c r="W51"/>
      <c r="X51"/>
      <c r="Y51"/>
      <c r="Z51"/>
      <c r="AD51" s="7"/>
      <c r="AE51" s="7"/>
      <c r="AH51" s="7"/>
      <c r="AN51"/>
      <c r="AO51"/>
      <c r="AR51"/>
    </row>
    <row r="52" spans="2:44" ht="52.5" thickBot="1">
      <c r="B52" s="208" t="s">
        <v>57</v>
      </c>
      <c r="C52" s="207">
        <v>2046789</v>
      </c>
      <c r="D52" s="207">
        <v>2333294</v>
      </c>
      <c r="E52" s="207">
        <v>2718623</v>
      </c>
      <c r="F52" s="10"/>
      <c r="H52" s="305" t="s">
        <v>181</v>
      </c>
      <c r="I52" s="311">
        <f>C51/((C12+D12)/2)</f>
        <v>1.5222004573771784</v>
      </c>
      <c r="J52" s="311">
        <f>D51/((D12+E12)/2)</f>
        <v>1.9468565408925493</v>
      </c>
      <c r="Q52"/>
      <c r="R52"/>
      <c r="S52"/>
      <c r="T52"/>
      <c r="U52"/>
      <c r="V52"/>
      <c r="W52"/>
      <c r="X52"/>
      <c r="Y52"/>
      <c r="Z52"/>
      <c r="AD52" s="7"/>
      <c r="AE52" s="7"/>
      <c r="AH52" s="7"/>
      <c r="AN52"/>
      <c r="AO52"/>
      <c r="AR52"/>
    </row>
    <row r="53" spans="2:44" ht="16.5" thickBot="1">
      <c r="B53" s="208" t="s">
        <v>37</v>
      </c>
      <c r="C53" s="207">
        <f>C51-C52</f>
        <v>2778967</v>
      </c>
      <c r="D53" s="207">
        <v>2748975</v>
      </c>
      <c r="E53" s="207">
        <v>2876938</v>
      </c>
      <c r="F53" s="10"/>
      <c r="H53" s="305" t="s">
        <v>180</v>
      </c>
      <c r="I53" s="310">
        <f>365/I52</f>
        <v>239.78445035347832</v>
      </c>
      <c r="J53" s="310">
        <f>365/J52</f>
        <v>187.48171338431712</v>
      </c>
      <c r="Q53"/>
      <c r="R53"/>
      <c r="S53"/>
      <c r="T53"/>
      <c r="U53"/>
      <c r="V53"/>
      <c r="W53"/>
      <c r="X53"/>
      <c r="Y53"/>
      <c r="Z53"/>
      <c r="AD53" s="7"/>
      <c r="AE53" s="7"/>
      <c r="AH53" s="7"/>
      <c r="AN53"/>
      <c r="AO53"/>
      <c r="AR53"/>
    </row>
    <row r="54" spans="2:44" ht="39.75" thickBot="1">
      <c r="B54" s="208" t="s">
        <v>38</v>
      </c>
      <c r="C54" s="207">
        <v>1088342</v>
      </c>
      <c r="D54" s="207">
        <v>1177259</v>
      </c>
      <c r="E54" s="207">
        <v>1081912</v>
      </c>
      <c r="F54" s="10"/>
      <c r="H54" s="305" t="s">
        <v>182</v>
      </c>
      <c r="I54" s="311">
        <f>C51/((C20+D20)/2)</f>
        <v>2.6657217035850413</v>
      </c>
      <c r="J54" s="311">
        <f>D51/((D20+E20)/2)</f>
        <v>2.0574738376211972</v>
      </c>
      <c r="Q54"/>
      <c r="R54"/>
      <c r="S54"/>
      <c r="T54"/>
      <c r="U54"/>
      <c r="V54"/>
      <c r="W54"/>
      <c r="X54"/>
      <c r="Y54"/>
      <c r="Z54"/>
      <c r="AD54" s="7"/>
      <c r="AE54" s="7"/>
      <c r="AH54" s="7"/>
      <c r="AN54"/>
      <c r="AO54"/>
      <c r="AR54"/>
    </row>
    <row r="55" spans="2:44" ht="16.5" thickBot="1">
      <c r="B55" s="208" t="s">
        <v>39</v>
      </c>
      <c r="C55" s="207">
        <v>567034</v>
      </c>
      <c r="D55" s="207">
        <v>540080</v>
      </c>
      <c r="E55" s="207">
        <v>552561</v>
      </c>
      <c r="F55" s="10"/>
      <c r="H55" s="305" t="s">
        <v>180</v>
      </c>
      <c r="I55" s="310">
        <f>365/I54</f>
        <v>136.92352037691089</v>
      </c>
      <c r="J55" s="310">
        <f>365/J54</f>
        <v>177.40201276240984</v>
      </c>
      <c r="Q55"/>
      <c r="R55"/>
      <c r="S55"/>
      <c r="T55"/>
      <c r="U55"/>
      <c r="V55"/>
      <c r="W55"/>
      <c r="X55"/>
      <c r="Y55"/>
      <c r="Z55"/>
      <c r="AD55" s="7"/>
      <c r="AE55" s="7"/>
      <c r="AH55" s="7"/>
      <c r="AN55"/>
      <c r="AO55"/>
      <c r="AR55"/>
    </row>
    <row r="56" spans="2:44" ht="27" customHeight="1" thickBot="1">
      <c r="B56" s="208" t="s">
        <v>40</v>
      </c>
      <c r="C56" s="207">
        <f>C53-C54-C55</f>
        <v>1123591</v>
      </c>
      <c r="D56" s="207">
        <v>1031636</v>
      </c>
      <c r="E56" s="207">
        <v>1242465</v>
      </c>
      <c r="F56" s="10"/>
      <c r="H56" s="304" t="s">
        <v>183</v>
      </c>
      <c r="I56" s="311">
        <f>C52/((C14+D14)/2)</f>
        <v>3.0193081575453609</v>
      </c>
      <c r="J56" s="311">
        <f>D52/((D14+E14)/2)</f>
        <v>2.4805124116302557</v>
      </c>
      <c r="Q56"/>
      <c r="R56"/>
      <c r="S56"/>
      <c r="T56"/>
      <c r="U56"/>
      <c r="V56"/>
      <c r="W56"/>
      <c r="X56"/>
      <c r="Y56"/>
      <c r="Z56"/>
      <c r="AD56" s="7"/>
      <c r="AE56" s="7"/>
      <c r="AH56" s="7"/>
      <c r="AN56"/>
      <c r="AO56"/>
      <c r="AR56"/>
    </row>
    <row r="57" spans="2:44" ht="16.5" thickBot="1">
      <c r="B57" s="208" t="s">
        <v>42</v>
      </c>
      <c r="C57" s="207">
        <v>0</v>
      </c>
      <c r="D57" s="207">
        <v>0</v>
      </c>
      <c r="E57" s="207">
        <v>1806</v>
      </c>
      <c r="F57" s="10"/>
      <c r="H57" s="305" t="s">
        <v>180</v>
      </c>
      <c r="I57" s="310">
        <f>365/I56</f>
        <v>120.88862115244902</v>
      </c>
      <c r="J57" s="310">
        <f>365/J56</f>
        <v>147.14701619255868</v>
      </c>
      <c r="Q57"/>
      <c r="R57"/>
      <c r="S57"/>
      <c r="T57"/>
      <c r="U57"/>
      <c r="V57"/>
      <c r="W57"/>
      <c r="X57"/>
      <c r="Y57"/>
      <c r="Z57"/>
      <c r="AD57" s="7"/>
      <c r="AE57" s="7"/>
      <c r="AF57" s="9"/>
      <c r="AG57" s="9"/>
      <c r="AH57" s="7"/>
      <c r="AN57"/>
      <c r="AO57"/>
      <c r="AR57"/>
    </row>
    <row r="58" spans="2:44" ht="39.75" thickBot="1">
      <c r="B58" s="208" t="s">
        <v>43</v>
      </c>
      <c r="C58" s="207">
        <v>12587</v>
      </c>
      <c r="D58" s="207">
        <v>13005</v>
      </c>
      <c r="E58" s="207">
        <v>8060</v>
      </c>
      <c r="F58" s="10"/>
      <c r="H58" s="304" t="s">
        <v>184</v>
      </c>
      <c r="I58" s="311">
        <f>C51/((C16+D16)/2)</f>
        <v>5.243392187754659</v>
      </c>
      <c r="J58" s="311">
        <f>D51/((D16+E16)/2)</f>
        <v>4.6387997444322746</v>
      </c>
      <c r="Q58"/>
      <c r="R58"/>
      <c r="S58"/>
      <c r="T58"/>
      <c r="U58"/>
      <c r="V58"/>
      <c r="W58"/>
      <c r="X58"/>
      <c r="Y58"/>
      <c r="Z58"/>
      <c r="AD58" s="7"/>
      <c r="AE58" s="7"/>
      <c r="AF58" s="9"/>
      <c r="AG58" s="9"/>
      <c r="AH58" s="7"/>
      <c r="AN58"/>
      <c r="AO58"/>
      <c r="AR58"/>
    </row>
    <row r="59" spans="2:44" ht="16.5" thickBot="1">
      <c r="B59" s="208" t="s">
        <v>44</v>
      </c>
      <c r="C59" s="207">
        <v>186456</v>
      </c>
      <c r="D59" s="207">
        <v>102313</v>
      </c>
      <c r="E59" s="207">
        <v>101491</v>
      </c>
      <c r="F59" s="10"/>
      <c r="H59" s="305" t="s">
        <v>180</v>
      </c>
      <c r="I59" s="310">
        <f>365/I58</f>
        <v>69.611424614091547</v>
      </c>
      <c r="J59" s="310">
        <f>365/J58</f>
        <v>78.684146785618779</v>
      </c>
      <c r="Q59"/>
      <c r="R59"/>
      <c r="S59"/>
      <c r="T59"/>
      <c r="U59"/>
      <c r="V59"/>
      <c r="W59"/>
      <c r="X59"/>
      <c r="Y59"/>
      <c r="Z59"/>
      <c r="AD59" s="7"/>
      <c r="AE59" s="7"/>
      <c r="AF59" s="9"/>
      <c r="AG59" s="9"/>
      <c r="AH59" s="7"/>
      <c r="AN59"/>
      <c r="AO59"/>
      <c r="AR59"/>
    </row>
    <row r="60" spans="2:44" ht="39.75" thickBot="1">
      <c r="B60" s="208" t="s">
        <v>45</v>
      </c>
      <c r="C60" s="207">
        <v>132006</v>
      </c>
      <c r="D60" s="207">
        <v>100163</v>
      </c>
      <c r="E60" s="207">
        <v>114081</v>
      </c>
      <c r="F60" s="10"/>
      <c r="H60" s="304" t="s">
        <v>185</v>
      </c>
      <c r="I60" s="311">
        <f>C52/((C39+D39)/2)</f>
        <v>4.6993203994948916</v>
      </c>
      <c r="J60" s="311">
        <f>D52/((D39+E39)/2)</f>
        <v>5.6895732748110213</v>
      </c>
      <c r="Q60"/>
      <c r="R60"/>
      <c r="S60"/>
      <c r="T60"/>
      <c r="U60"/>
      <c r="V60"/>
      <c r="W60"/>
      <c r="X60"/>
      <c r="Y60"/>
      <c r="Z60"/>
      <c r="AD60" s="7"/>
      <c r="AE60" s="7"/>
      <c r="AF60" s="9"/>
      <c r="AG60" s="9"/>
      <c r="AH60" s="7"/>
      <c r="AN60"/>
      <c r="AO60"/>
      <c r="AR60"/>
    </row>
    <row r="61" spans="2:44" ht="16.5" thickBot="1">
      <c r="B61" s="208" t="s">
        <v>46</v>
      </c>
      <c r="C61" s="207">
        <v>298763</v>
      </c>
      <c r="D61" s="207">
        <v>270928</v>
      </c>
      <c r="E61" s="207">
        <v>323616</v>
      </c>
      <c r="F61" s="10"/>
      <c r="H61" s="305" t="s">
        <v>180</v>
      </c>
      <c r="I61" s="310">
        <f>365/I60</f>
        <v>77.670805344371104</v>
      </c>
      <c r="J61" s="310">
        <f>365/J60</f>
        <v>64.15243856967875</v>
      </c>
      <c r="Q61"/>
      <c r="R61"/>
      <c r="S61"/>
      <c r="T61"/>
      <c r="U61"/>
      <c r="V61"/>
      <c r="W61"/>
      <c r="X61"/>
      <c r="Y61"/>
      <c r="Z61"/>
      <c r="AD61" s="7"/>
      <c r="AE61" s="7"/>
      <c r="AF61" s="9"/>
      <c r="AG61" s="9"/>
      <c r="AH61" s="7"/>
      <c r="AN61"/>
      <c r="AO61"/>
      <c r="AR61"/>
    </row>
    <row r="62" spans="2:44" ht="16.5" thickBot="1">
      <c r="B62" s="208" t="s">
        <v>98</v>
      </c>
      <c r="C62" s="207">
        <f>C56+C58-C59+C60-C61</f>
        <v>782965</v>
      </c>
      <c r="D62" s="207">
        <v>771563</v>
      </c>
      <c r="E62" s="207">
        <v>941305</v>
      </c>
      <c r="F62" s="10"/>
      <c r="H62" s="304" t="s">
        <v>186</v>
      </c>
      <c r="I62" s="306"/>
      <c r="J62" s="306"/>
      <c r="Q62"/>
      <c r="R62"/>
      <c r="S62"/>
      <c r="T62"/>
      <c r="U62"/>
      <c r="V62"/>
      <c r="W62"/>
      <c r="X62"/>
      <c r="Y62"/>
      <c r="Z62"/>
      <c r="AD62" s="7"/>
      <c r="AE62" s="7"/>
      <c r="AF62" s="9"/>
      <c r="AG62" s="9"/>
      <c r="AH62" s="7"/>
      <c r="AN62"/>
      <c r="AO62"/>
      <c r="AR62"/>
    </row>
    <row r="63" spans="2:44" ht="39.75" thickBot="1">
      <c r="B63" s="208" t="s">
        <v>47</v>
      </c>
      <c r="C63" s="206">
        <f>C62*0.2</f>
        <v>156593</v>
      </c>
      <c r="D63" s="207">
        <v>160229</v>
      </c>
      <c r="E63" s="207">
        <v>192419</v>
      </c>
      <c r="F63" s="10"/>
      <c r="H63" s="305" t="s">
        <v>187</v>
      </c>
      <c r="I63" s="307">
        <f>C56/C51</f>
        <v>0.23283211998285863</v>
      </c>
      <c r="J63" s="307">
        <f>D56/D51</f>
        <v>0.20298728776457917</v>
      </c>
      <c r="Q63"/>
      <c r="R63"/>
      <c r="S63"/>
      <c r="T63"/>
      <c r="U63"/>
      <c r="V63"/>
      <c r="W63"/>
      <c r="X63"/>
      <c r="Y63"/>
      <c r="Z63"/>
      <c r="AD63" s="7"/>
      <c r="AE63" s="7"/>
      <c r="AF63" s="9"/>
      <c r="AG63" s="9"/>
      <c r="AH63" s="7"/>
      <c r="AN63"/>
      <c r="AO63"/>
      <c r="AR63"/>
    </row>
    <row r="64" spans="2:44" ht="27" thickBot="1">
      <c r="B64" s="282" t="s">
        <v>167</v>
      </c>
      <c r="C64" s="206">
        <v>23479</v>
      </c>
      <c r="D64" s="206">
        <v>25542</v>
      </c>
      <c r="E64" s="206">
        <v>30602</v>
      </c>
      <c r="F64" s="10"/>
      <c r="H64" s="305" t="s">
        <v>188</v>
      </c>
      <c r="I64" s="308">
        <f>E86/((C44+D44)/2)</f>
        <v>0.1921141239421349</v>
      </c>
      <c r="J64" s="308">
        <f>F86/((D44+E44)/2)</f>
        <v>0.16944111481798588</v>
      </c>
      <c r="Q64"/>
      <c r="R64"/>
      <c r="S64"/>
      <c r="T64"/>
      <c r="U64"/>
      <c r="V64"/>
      <c r="W64"/>
      <c r="X64"/>
      <c r="Y64"/>
      <c r="Z64"/>
      <c r="AD64" s="7"/>
      <c r="AE64" s="7"/>
      <c r="AF64" s="9"/>
      <c r="AG64" s="9"/>
      <c r="AH64" s="7"/>
      <c r="AN64"/>
      <c r="AO64"/>
      <c r="AR64"/>
    </row>
    <row r="65" spans="1:44" ht="39.75" thickBot="1">
      <c r="B65" s="282" t="s">
        <v>163</v>
      </c>
      <c r="C65" s="206">
        <v>18362</v>
      </c>
      <c r="D65" s="206">
        <v>20035</v>
      </c>
      <c r="E65" s="206">
        <v>26444</v>
      </c>
      <c r="F65" s="10"/>
      <c r="H65" s="305" t="s">
        <v>189</v>
      </c>
      <c r="I65" s="308">
        <f>C68/((C31+D31)/2)</f>
        <v>0.17428044811796214</v>
      </c>
      <c r="J65" s="308">
        <f>D68/((D31+E31)/2)</f>
        <v>0.16817711755463505</v>
      </c>
      <c r="Q65"/>
      <c r="R65"/>
      <c r="S65"/>
      <c r="T65"/>
      <c r="U65"/>
      <c r="V65"/>
      <c r="W65"/>
      <c r="X65"/>
      <c r="Y65"/>
      <c r="Z65"/>
      <c r="AD65" s="7"/>
      <c r="AE65" s="7"/>
      <c r="AF65" s="9"/>
      <c r="AG65" s="9"/>
      <c r="AH65" s="7"/>
      <c r="AN65"/>
      <c r="AO65"/>
      <c r="AR65"/>
    </row>
    <row r="66" spans="1:44">
      <c r="B66" s="279" t="s">
        <v>162</v>
      </c>
      <c r="C66" s="206">
        <v>0</v>
      </c>
      <c r="D66" s="206">
        <v>409</v>
      </c>
      <c r="E66" s="204">
        <v>0</v>
      </c>
      <c r="F66" s="10"/>
      <c r="Q66"/>
      <c r="R66"/>
      <c r="S66"/>
      <c r="T66"/>
      <c r="U66"/>
      <c r="V66"/>
      <c r="W66"/>
      <c r="X66"/>
      <c r="Y66"/>
      <c r="Z66"/>
      <c r="AD66" s="7"/>
      <c r="AE66" s="7"/>
      <c r="AH66" s="7"/>
      <c r="AN66"/>
      <c r="AO66"/>
      <c r="AR66"/>
    </row>
    <row r="67" spans="1:44">
      <c r="B67" s="205" t="s">
        <v>48</v>
      </c>
      <c r="C67" s="206">
        <v>2856</v>
      </c>
      <c r="D67" s="206">
        <v>3004</v>
      </c>
      <c r="E67" s="204">
        <v>4737</v>
      </c>
      <c r="F67" s="10"/>
      <c r="Q67"/>
      <c r="R67"/>
      <c r="S67"/>
      <c r="T67"/>
      <c r="U67"/>
      <c r="V67"/>
      <c r="W67"/>
      <c r="X67"/>
      <c r="Y67"/>
      <c r="Z67"/>
      <c r="AD67" s="7"/>
      <c r="AE67" s="7"/>
      <c r="AH67" s="7"/>
      <c r="AN67"/>
      <c r="AO67"/>
      <c r="AR67"/>
    </row>
    <row r="68" spans="1:44" ht="32.25" thickBot="1">
      <c r="B68" s="205" t="s">
        <v>49</v>
      </c>
      <c r="C68" s="206">
        <f>C62-C63-C65-C67</f>
        <v>605154</v>
      </c>
      <c r="D68" s="206">
        <v>588704</v>
      </c>
      <c r="E68" s="204">
        <v>717705</v>
      </c>
      <c r="F68" s="10"/>
      <c r="H68" s="312" t="s">
        <v>190</v>
      </c>
      <c r="I68" s="313">
        <f>I57+I59-I61</f>
        <v>112.82924042216945</v>
      </c>
      <c r="J68" s="313">
        <f>J57+J59-J61</f>
        <v>161.67872440849874</v>
      </c>
      <c r="Q68"/>
      <c r="R68"/>
      <c r="S68"/>
      <c r="T68"/>
      <c r="U68"/>
      <c r="V68"/>
      <c r="W68"/>
      <c r="X68"/>
      <c r="Y68"/>
      <c r="Z68"/>
      <c r="AD68" s="7"/>
      <c r="AE68" s="7"/>
      <c r="AH68" s="7"/>
      <c r="AN68"/>
      <c r="AO68"/>
      <c r="AR68"/>
    </row>
    <row r="69" spans="1:44" ht="16.5" thickBot="1">
      <c r="B69" s="176" t="s">
        <v>69</v>
      </c>
      <c r="C69" s="241">
        <v>87875</v>
      </c>
      <c r="D69" s="241">
        <v>11526</v>
      </c>
      <c r="E69" s="241">
        <v>28355</v>
      </c>
      <c r="F69" s="10"/>
      <c r="Q69"/>
      <c r="R69"/>
      <c r="S69"/>
      <c r="T69"/>
      <c r="U69"/>
      <c r="V69"/>
      <c r="W69"/>
      <c r="X69"/>
      <c r="Y69"/>
      <c r="Z69"/>
      <c r="AD69" s="7"/>
      <c r="AE69" s="7"/>
      <c r="AH69" s="7"/>
      <c r="AN69"/>
      <c r="AO69"/>
      <c r="AR69"/>
    </row>
    <row r="70" spans="1:44">
      <c r="F70" s="10"/>
      <c r="Q70"/>
      <c r="R70"/>
      <c r="S70"/>
      <c r="T70"/>
      <c r="U70"/>
      <c r="V70"/>
      <c r="W70"/>
      <c r="X70"/>
      <c r="Y70"/>
      <c r="Z70"/>
      <c r="AD70" s="7"/>
      <c r="AE70" s="7"/>
      <c r="AH70" s="7"/>
      <c r="AN70"/>
      <c r="AO70"/>
      <c r="AR70"/>
    </row>
    <row r="71" spans="1:44" ht="31.5">
      <c r="B71" s="16" t="s">
        <v>56</v>
      </c>
      <c r="C71" s="16"/>
      <c r="D71" s="16"/>
      <c r="E71" s="17"/>
      <c r="F71" s="17"/>
      <c r="G71" s="17"/>
      <c r="H71" s="18"/>
      <c r="Q71"/>
      <c r="R71"/>
      <c r="S71"/>
      <c r="T71"/>
      <c r="U71"/>
      <c r="V71"/>
      <c r="W71"/>
      <c r="X71"/>
      <c r="Y71"/>
      <c r="Z71"/>
      <c r="AD71" s="7"/>
      <c r="AE71" s="7"/>
      <c r="AH71" s="7"/>
      <c r="AN71"/>
      <c r="AO71"/>
      <c r="AR71"/>
    </row>
    <row r="72" spans="1:44">
      <c r="B72" s="19"/>
      <c r="C72" s="19"/>
      <c r="D72" s="19"/>
      <c r="E72" s="2"/>
      <c r="F72" s="2"/>
      <c r="G72" s="2"/>
      <c r="H72" s="19"/>
      <c r="Q72"/>
      <c r="R72"/>
      <c r="S72"/>
      <c r="T72"/>
      <c r="U72"/>
      <c r="V72"/>
      <c r="W72"/>
      <c r="X72"/>
      <c r="Y72"/>
      <c r="Z72"/>
      <c r="AD72" s="7"/>
      <c r="AE72" s="7"/>
      <c r="AH72" s="7"/>
      <c r="AN72"/>
      <c r="AO72"/>
      <c r="AR72"/>
    </row>
    <row r="73" spans="1:44">
      <c r="B73" s="20"/>
      <c r="C73" s="20"/>
      <c r="D73" s="20" t="s">
        <v>4</v>
      </c>
      <c r="E73" s="69" t="s">
        <v>170</v>
      </c>
      <c r="F73" s="69" t="s">
        <v>169</v>
      </c>
      <c r="G73" s="69" t="s">
        <v>50</v>
      </c>
      <c r="H73" s="20" t="s">
        <v>60</v>
      </c>
    </row>
    <row r="74" spans="1:44">
      <c r="B74" s="171" t="s">
        <v>59</v>
      </c>
      <c r="C74" s="48"/>
      <c r="D74" s="48"/>
      <c r="E74" s="49"/>
      <c r="F74" s="49"/>
      <c r="G74" s="49"/>
      <c r="H74" s="48"/>
    </row>
    <row r="75" spans="1:44" ht="128.25">
      <c r="B75" s="48" t="s">
        <v>58</v>
      </c>
      <c r="C75" s="48" t="s">
        <v>32</v>
      </c>
      <c r="D75" s="48" t="s">
        <v>33</v>
      </c>
      <c r="E75" s="160">
        <f>(C31+C40)/C44</f>
        <v>0.71990308996865804</v>
      </c>
      <c r="F75" s="161">
        <f>(D31+D40)/D44</f>
        <v>0.67233845895302913</v>
      </c>
      <c r="G75" s="162">
        <f>(E31+E40)/E44</f>
        <v>0.70366050102760647</v>
      </c>
      <c r="H75" s="240" t="s">
        <v>61</v>
      </c>
    </row>
    <row r="76" spans="1:44" ht="153.75">
      <c r="B76" s="163" t="s">
        <v>197</v>
      </c>
      <c r="C76" s="164" t="s">
        <v>198</v>
      </c>
      <c r="D76" s="165" t="s">
        <v>199</v>
      </c>
      <c r="E76" s="160">
        <f>(C31+C36)/C12</f>
        <v>1.1362491048457681</v>
      </c>
      <c r="F76" s="160">
        <f t="shared" ref="F76:G76" si="19">(D31+D36)/D12</f>
        <v>1.6230254454906232</v>
      </c>
      <c r="G76" s="160">
        <f t="shared" si="19"/>
        <v>1.7205749207786329</v>
      </c>
      <c r="H76" s="239" t="s">
        <v>200</v>
      </c>
    </row>
    <row r="77" spans="1:44" ht="47.25">
      <c r="B77" s="167" t="s">
        <v>62</v>
      </c>
      <c r="C77" s="164"/>
      <c r="D77" s="168" t="s">
        <v>63</v>
      </c>
      <c r="E77" s="169">
        <f>C12/C21</f>
        <v>0.72496010152479473</v>
      </c>
      <c r="F77" s="166">
        <f>D12/D21</f>
        <v>0.5399126123855138</v>
      </c>
      <c r="G77" s="170">
        <f>E12/E21</f>
        <v>0.49080708770760428</v>
      </c>
      <c r="H77" s="240"/>
    </row>
    <row r="78" spans="1:44" ht="166.5">
      <c r="B78" s="163" t="s">
        <v>66</v>
      </c>
      <c r="C78" s="164" t="s">
        <v>64</v>
      </c>
      <c r="D78" s="165" t="s">
        <v>65</v>
      </c>
      <c r="E78" s="160">
        <f>(C36+C43-C40)/(C31+C40)</f>
        <v>0.38907585470085471</v>
      </c>
      <c r="F78" s="160">
        <f t="shared" ref="F78:G78" si="20">(D36+D43-D40)/(D31+D40)</f>
        <v>0.4873461226020121</v>
      </c>
      <c r="G78" s="160">
        <f t="shared" si="20"/>
        <v>0.42113988001263025</v>
      </c>
      <c r="H78" s="239" t="s">
        <v>67</v>
      </c>
    </row>
    <row r="79" spans="1:44" ht="153.75">
      <c r="B79" s="163" t="s">
        <v>201</v>
      </c>
      <c r="C79" s="164"/>
      <c r="D79" s="165" t="s">
        <v>203</v>
      </c>
      <c r="E79" s="160">
        <f>(C31-C12)/C20</f>
        <v>-1.8386465324384788E-2</v>
      </c>
      <c r="F79" s="160">
        <f t="shared" ref="F79:G79" si="21">(D31-D12)/D20</f>
        <v>0.28782759565336496</v>
      </c>
      <c r="G79" s="160">
        <f t="shared" si="21"/>
        <v>0.41802116286680485</v>
      </c>
      <c r="H79" s="239" t="s">
        <v>202</v>
      </c>
    </row>
    <row r="80" spans="1:44" s="250" customFormat="1" ht="64.5">
      <c r="A80" s="6"/>
      <c r="B80" s="378" t="s">
        <v>195</v>
      </c>
      <c r="C80" s="164"/>
      <c r="D80" s="165"/>
      <c r="E80" s="160">
        <f>C16/C39</f>
        <v>1.3802868034125975</v>
      </c>
      <c r="F80" s="160">
        <f>D16/D39</f>
        <v>3.3738288569643973</v>
      </c>
      <c r="G80" s="160">
        <f>E16/E39</f>
        <v>2.2218</v>
      </c>
      <c r="H80" s="239" t="s">
        <v>196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N80" s="7"/>
      <c r="AO80" s="7"/>
      <c r="AR80" s="7"/>
    </row>
    <row r="81" spans="2:8" ht="75.75" customHeight="1">
      <c r="B81" s="203" t="s">
        <v>82</v>
      </c>
      <c r="C81" s="158" t="s">
        <v>83</v>
      </c>
      <c r="D81" s="159" t="s">
        <v>84</v>
      </c>
      <c r="E81" s="152">
        <f>C20/C43</f>
        <v>1.5603796225591797</v>
      </c>
      <c r="F81" s="153">
        <f>D20/D43</f>
        <v>3.7191373747665137</v>
      </c>
      <c r="G81" s="154">
        <f>E20/E43</f>
        <v>3.2739285714285713</v>
      </c>
      <c r="H81" s="238" t="s">
        <v>85</v>
      </c>
    </row>
    <row r="82" spans="2:8">
      <c r="B82" s="217" t="s">
        <v>68</v>
      </c>
      <c r="C82" s="217"/>
      <c r="D82" s="216"/>
      <c r="E82" s="213">
        <v>2017</v>
      </c>
      <c r="F82" s="212">
        <v>2016</v>
      </c>
      <c r="G82" s="175"/>
      <c r="H82" s="237"/>
    </row>
    <row r="83" spans="2:8" ht="96.75" customHeight="1">
      <c r="B83" s="172" t="s">
        <v>91</v>
      </c>
      <c r="C83" s="173"/>
      <c r="D83" s="174" t="s">
        <v>90</v>
      </c>
      <c r="E83" s="213">
        <f>(P10+O10)/2</f>
        <v>980350</v>
      </c>
      <c r="F83" s="212">
        <f>(Q10+P10)/2</f>
        <v>1045200</v>
      </c>
      <c r="G83" s="175"/>
      <c r="H83" s="237"/>
    </row>
    <row r="84" spans="2:8" ht="180.75" customHeight="1">
      <c r="B84" s="172" t="s">
        <v>92</v>
      </c>
      <c r="C84" s="173"/>
      <c r="D84" s="174" t="s">
        <v>93</v>
      </c>
      <c r="E84" s="213">
        <f>C62+C59-C58+C69</f>
        <v>1044709</v>
      </c>
      <c r="F84" s="212">
        <f>D62+D59-D58+D69</f>
        <v>872397</v>
      </c>
      <c r="G84" s="175"/>
      <c r="H84" s="237"/>
    </row>
    <row r="85" spans="2:8" ht="98.25" customHeight="1">
      <c r="B85" s="172" t="s">
        <v>89</v>
      </c>
      <c r="C85" s="173"/>
      <c r="D85" s="174"/>
      <c r="E85" s="211">
        <f>E83/E84</f>
        <v>0.93839528519425031</v>
      </c>
      <c r="F85" s="210">
        <f>F83/F84</f>
        <v>1.1980783977936651</v>
      </c>
      <c r="G85" s="175"/>
      <c r="H85" s="237" t="s">
        <v>99</v>
      </c>
    </row>
    <row r="86" spans="2:8" ht="46.5" customHeight="1">
      <c r="B86" s="172" t="s">
        <v>95</v>
      </c>
      <c r="C86" s="173"/>
      <c r="D86" s="174" t="s">
        <v>94</v>
      </c>
      <c r="E86" s="215">
        <f>C62+C59-C58</f>
        <v>956834</v>
      </c>
      <c r="F86" s="214">
        <f>D62+D59-D58</f>
        <v>860871</v>
      </c>
      <c r="G86" s="175"/>
      <c r="H86" s="237"/>
    </row>
    <row r="87" spans="2:8" ht="64.5">
      <c r="B87" s="314" t="s">
        <v>96</v>
      </c>
      <c r="C87" s="315" t="s">
        <v>97</v>
      </c>
      <c r="D87" s="316"/>
      <c r="E87" s="317">
        <f>E86/C59</f>
        <v>5.131687904921268</v>
      </c>
      <c r="F87" s="318">
        <f>F86/D59</f>
        <v>8.4140920508635269</v>
      </c>
      <c r="G87" s="319"/>
      <c r="H87" s="320" t="s">
        <v>100</v>
      </c>
    </row>
    <row r="88" spans="2:8">
      <c r="B88" s="326"/>
      <c r="C88" s="327"/>
      <c r="D88" s="328"/>
      <c r="E88" s="329"/>
      <c r="F88" s="330"/>
      <c r="G88" s="331"/>
      <c r="H88" s="330"/>
    </row>
    <row r="89" spans="2:8">
      <c r="B89" s="326"/>
      <c r="C89" s="327"/>
      <c r="D89" s="328"/>
      <c r="E89" s="329"/>
      <c r="F89" s="330"/>
      <c r="G89" s="331"/>
      <c r="H89" s="330"/>
    </row>
    <row r="90" spans="2:8">
      <c r="B90" s="332"/>
      <c r="C90" s="333"/>
      <c r="D90" s="334"/>
      <c r="E90" s="335"/>
      <c r="F90" s="336"/>
      <c r="G90" s="337"/>
      <c r="H90" s="336"/>
    </row>
    <row r="91" spans="2:8">
      <c r="B91" s="332"/>
      <c r="C91" s="333"/>
      <c r="D91" s="334"/>
      <c r="E91" s="335"/>
      <c r="F91" s="336"/>
      <c r="G91" s="337"/>
      <c r="H91" s="336"/>
    </row>
    <row r="92" spans="2:8">
      <c r="B92" s="332"/>
      <c r="C92" s="333"/>
      <c r="D92" s="334"/>
      <c r="E92" s="335"/>
      <c r="F92" s="336"/>
      <c r="G92" s="337"/>
      <c r="H92" s="336"/>
    </row>
    <row r="93" spans="2:8">
      <c r="B93" s="332"/>
      <c r="C93" s="333"/>
      <c r="D93" s="334"/>
      <c r="E93" s="335"/>
      <c r="F93" s="336"/>
      <c r="G93" s="337"/>
      <c r="H93" s="336"/>
    </row>
    <row r="94" spans="2:8">
      <c r="B94" s="332"/>
      <c r="C94" s="333"/>
      <c r="D94" s="334"/>
      <c r="E94" s="335"/>
      <c r="F94" s="336"/>
      <c r="G94" s="337"/>
      <c r="H94" s="336"/>
    </row>
    <row r="95" spans="2:8">
      <c r="B95" s="332"/>
      <c r="C95" s="333"/>
      <c r="D95" s="334"/>
      <c r="E95" s="335"/>
      <c r="F95" s="336"/>
      <c r="G95" s="337"/>
      <c r="H95" s="336"/>
    </row>
    <row r="96" spans="2:8">
      <c r="B96" s="332"/>
      <c r="C96" s="333"/>
      <c r="D96" s="334"/>
      <c r="E96" s="335"/>
      <c r="F96" s="336"/>
      <c r="G96" s="337"/>
      <c r="H96" s="336"/>
    </row>
    <row r="97" spans="2:8">
      <c r="B97" s="332"/>
      <c r="C97" s="333"/>
      <c r="D97" s="334"/>
      <c r="E97" s="335"/>
      <c r="F97" s="336"/>
      <c r="G97" s="337"/>
      <c r="H97" s="336"/>
    </row>
    <row r="98" spans="2:8">
      <c r="B98" s="332"/>
      <c r="C98" s="333"/>
      <c r="D98" s="334"/>
      <c r="E98" s="335"/>
      <c r="F98" s="336"/>
      <c r="G98" s="337"/>
      <c r="H98" s="336"/>
    </row>
    <row r="99" spans="2:8">
      <c r="B99" s="332"/>
      <c r="C99" s="333"/>
      <c r="D99" s="334"/>
      <c r="E99" s="338"/>
      <c r="F99" s="333"/>
      <c r="G99" s="339"/>
      <c r="H99" s="339"/>
    </row>
    <row r="100" spans="2:8">
      <c r="B100" s="332"/>
      <c r="C100" s="333"/>
      <c r="D100" s="334"/>
      <c r="E100" s="338"/>
      <c r="F100" s="333"/>
      <c r="G100" s="339"/>
      <c r="H100" s="339"/>
    </row>
    <row r="101" spans="2:8">
      <c r="B101" s="332"/>
      <c r="C101" s="333"/>
      <c r="D101" s="334"/>
      <c r="E101" s="338"/>
      <c r="F101" s="333"/>
      <c r="G101" s="339"/>
      <c r="H101" s="339"/>
    </row>
    <row r="102" spans="2:8">
      <c r="B102" s="332"/>
      <c r="C102" s="333"/>
      <c r="D102" s="334"/>
      <c r="E102" s="338"/>
      <c r="F102" s="333"/>
      <c r="G102" s="339"/>
      <c r="H102" s="339"/>
    </row>
    <row r="103" spans="2:8">
      <c r="B103" s="332"/>
      <c r="C103" s="333"/>
      <c r="D103" s="334"/>
      <c r="E103" s="338"/>
      <c r="F103" s="333"/>
      <c r="G103" s="339"/>
      <c r="H103" s="339"/>
    </row>
    <row r="104" spans="2:8">
      <c r="B104" s="332"/>
      <c r="C104" s="333"/>
      <c r="D104" s="334"/>
      <c r="E104" s="338"/>
      <c r="F104" s="333"/>
      <c r="G104" s="339"/>
      <c r="H104" s="339"/>
    </row>
    <row r="105" spans="2:8">
      <c r="B105" s="332"/>
      <c r="C105" s="333"/>
      <c r="D105" s="334"/>
      <c r="E105" s="338"/>
      <c r="F105" s="333"/>
      <c r="G105" s="339"/>
      <c r="H105" s="339"/>
    </row>
    <row r="106" spans="2:8">
      <c r="B106" s="332"/>
      <c r="C106" s="333"/>
      <c r="D106" s="334"/>
      <c r="E106" s="338"/>
      <c r="F106" s="333"/>
      <c r="G106" s="339"/>
      <c r="H106" s="339"/>
    </row>
    <row r="107" spans="2:8">
      <c r="B107" s="332"/>
      <c r="C107" s="333"/>
      <c r="D107" s="334"/>
      <c r="E107" s="338"/>
      <c r="F107" s="333"/>
      <c r="G107" s="339"/>
      <c r="H107" s="339"/>
    </row>
    <row r="108" spans="2:8">
      <c r="B108" s="332"/>
      <c r="C108" s="333"/>
      <c r="D108" s="334"/>
      <c r="E108" s="338"/>
      <c r="F108" s="333"/>
      <c r="G108" s="339"/>
      <c r="H108" s="339"/>
    </row>
    <row r="109" spans="2:8">
      <c r="B109" s="332"/>
      <c r="C109" s="333"/>
      <c r="D109" s="334"/>
      <c r="E109" s="338"/>
      <c r="F109" s="333"/>
      <c r="G109" s="339"/>
      <c r="H109" s="339"/>
    </row>
    <row r="110" spans="2:8">
      <c r="B110" s="332"/>
      <c r="C110" s="333"/>
      <c r="D110" s="334"/>
      <c r="E110" s="338"/>
      <c r="F110" s="333"/>
      <c r="G110" s="339"/>
      <c r="H110" s="339"/>
    </row>
    <row r="111" spans="2:8">
      <c r="B111" s="332"/>
      <c r="C111" s="333"/>
      <c r="D111" s="334"/>
      <c r="E111" s="338"/>
      <c r="F111" s="333"/>
      <c r="G111" s="339"/>
      <c r="H111" s="339"/>
    </row>
    <row r="112" spans="2:8">
      <c r="B112" s="332"/>
      <c r="C112" s="339"/>
      <c r="D112" s="340"/>
      <c r="E112" s="338"/>
      <c r="F112" s="333"/>
      <c r="G112" s="339"/>
      <c r="H112" s="339"/>
    </row>
    <row r="113" spans="2:8">
      <c r="B113" s="332"/>
      <c r="C113" s="339"/>
      <c r="D113" s="340"/>
      <c r="E113" s="338"/>
      <c r="F113" s="333"/>
      <c r="G113" s="339"/>
      <c r="H113" s="339"/>
    </row>
    <row r="114" spans="2:8">
      <c r="B114" s="332"/>
      <c r="C114" s="339"/>
      <c r="D114" s="340"/>
      <c r="E114" s="338"/>
      <c r="F114" s="333"/>
      <c r="G114" s="339"/>
      <c r="H114" s="339"/>
    </row>
    <row r="115" spans="2:8">
      <c r="B115" s="332"/>
      <c r="C115" s="339"/>
      <c r="D115" s="340"/>
      <c r="E115" s="338"/>
      <c r="F115" s="333"/>
      <c r="G115" s="339"/>
      <c r="H115" s="339"/>
    </row>
    <row r="116" spans="2:8">
      <c r="B116" s="332"/>
      <c r="C116" s="339"/>
      <c r="D116" s="340"/>
      <c r="E116" s="338"/>
      <c r="F116" s="333"/>
      <c r="G116" s="339"/>
      <c r="H116" s="339"/>
    </row>
    <row r="117" spans="2:8">
      <c r="B117" s="332"/>
      <c r="C117" s="339"/>
      <c r="D117" s="340"/>
      <c r="E117" s="338"/>
      <c r="F117" s="333"/>
      <c r="G117" s="339"/>
      <c r="H117" s="339"/>
    </row>
    <row r="118" spans="2:8">
      <c r="B118" s="332"/>
      <c r="C118" s="339"/>
      <c r="D118" s="340"/>
      <c r="E118" s="338"/>
      <c r="F118" s="333"/>
      <c r="G118" s="339"/>
      <c r="H118" s="339"/>
    </row>
    <row r="119" spans="2:8">
      <c r="B119" s="332"/>
      <c r="C119" s="339"/>
      <c r="D119" s="340"/>
      <c r="E119" s="338"/>
      <c r="F119" s="333"/>
      <c r="G119" s="339"/>
      <c r="H119" s="339"/>
    </row>
    <row r="120" spans="2:8">
      <c r="B120" s="332"/>
      <c r="C120" s="339"/>
      <c r="D120" s="340"/>
      <c r="E120" s="338"/>
      <c r="F120" s="333"/>
      <c r="G120" s="339"/>
      <c r="H120" s="339"/>
    </row>
    <row r="121" spans="2:8">
      <c r="B121" s="332"/>
      <c r="C121" s="339"/>
      <c r="D121" s="340"/>
      <c r="E121" s="338"/>
      <c r="F121" s="333"/>
      <c r="G121" s="339"/>
      <c r="H121" s="339"/>
    </row>
    <row r="122" spans="2:8">
      <c r="B122" s="332"/>
      <c r="C122" s="339"/>
      <c r="D122" s="340"/>
      <c r="E122" s="338"/>
      <c r="F122" s="333"/>
      <c r="G122" s="339"/>
      <c r="H122" s="339"/>
    </row>
    <row r="123" spans="2:8">
      <c r="B123" s="332"/>
      <c r="C123" s="339"/>
      <c r="D123" s="340"/>
      <c r="E123" s="338"/>
      <c r="F123" s="333"/>
      <c r="G123" s="339"/>
      <c r="H123" s="339"/>
    </row>
    <row r="124" spans="2:8">
      <c r="B124" s="321"/>
      <c r="C124" s="322"/>
      <c r="D124" s="323"/>
      <c r="E124" s="324"/>
      <c r="F124" s="325"/>
      <c r="G124" s="322"/>
      <c r="H124" s="322"/>
    </row>
    <row r="125" spans="2:8">
      <c r="B125" s="60"/>
      <c r="C125" s="155"/>
      <c r="D125" s="156"/>
      <c r="E125" s="157"/>
      <c r="F125" s="158"/>
      <c r="G125" s="155"/>
      <c r="H125" s="155"/>
    </row>
    <row r="126" spans="2:8">
      <c r="B126" s="60"/>
      <c r="C126" s="155"/>
      <c r="D126" s="156"/>
      <c r="E126" s="157"/>
      <c r="F126" s="158"/>
      <c r="G126" s="155"/>
      <c r="H126" s="155"/>
    </row>
    <row r="127" spans="2:8">
      <c r="B127" s="60"/>
      <c r="C127" s="155"/>
      <c r="D127" s="156"/>
      <c r="E127" s="157"/>
      <c r="F127" s="158"/>
      <c r="G127" s="155"/>
      <c r="H127" s="155"/>
    </row>
    <row r="128" spans="2:8">
      <c r="B128" s="60"/>
      <c r="C128" s="155"/>
      <c r="D128" s="156"/>
      <c r="E128" s="157"/>
      <c r="F128" s="158"/>
      <c r="G128" s="155"/>
      <c r="H128" s="155"/>
    </row>
    <row r="129" spans="2:8">
      <c r="B129" s="60"/>
      <c r="C129" s="155"/>
      <c r="D129" s="156"/>
      <c r="E129" s="157"/>
      <c r="F129" s="158"/>
      <c r="G129" s="155"/>
      <c r="H129" s="155"/>
    </row>
    <row r="130" spans="2:8">
      <c r="B130" s="60"/>
      <c r="C130" s="155"/>
      <c r="D130" s="156"/>
      <c r="E130" s="157"/>
      <c r="F130" s="158"/>
      <c r="G130" s="155"/>
      <c r="H130" s="155"/>
    </row>
    <row r="131" spans="2:8">
      <c r="B131" s="60"/>
      <c r="C131" s="155"/>
      <c r="D131" s="156"/>
      <c r="E131" s="157"/>
      <c r="F131" s="158"/>
      <c r="G131" s="155"/>
      <c r="H131" s="155"/>
    </row>
    <row r="132" spans="2:8">
      <c r="B132" s="60"/>
      <c r="C132" s="155"/>
      <c r="D132" s="156"/>
      <c r="E132" s="157"/>
      <c r="F132" s="158"/>
      <c r="G132" s="155"/>
      <c r="H132" s="155"/>
    </row>
    <row r="133" spans="2:8">
      <c r="B133" s="60"/>
      <c r="C133" s="155"/>
      <c r="D133" s="156"/>
      <c r="E133" s="157"/>
      <c r="F133" s="158"/>
      <c r="G133" s="155"/>
      <c r="H133" s="155"/>
    </row>
    <row r="134" spans="2:8">
      <c r="B134" s="60"/>
      <c r="C134" s="155"/>
      <c r="D134" s="156"/>
      <c r="E134" s="157"/>
      <c r="F134" s="158"/>
      <c r="G134" s="155"/>
      <c r="H134" s="155"/>
    </row>
    <row r="135" spans="2:8">
      <c r="B135" s="60"/>
      <c r="C135" s="155"/>
      <c r="D135" s="156"/>
      <c r="E135" s="157"/>
      <c r="F135" s="158"/>
      <c r="G135" s="155"/>
      <c r="H135" s="155"/>
    </row>
    <row r="136" spans="2:8">
      <c r="B136" s="60"/>
      <c r="C136" s="155"/>
      <c r="D136" s="156"/>
      <c r="E136" s="157"/>
      <c r="F136" s="158"/>
      <c r="G136" s="155"/>
      <c r="H136" s="155"/>
    </row>
    <row r="137" spans="2:8">
      <c r="B137" s="60"/>
      <c r="C137" s="155"/>
      <c r="D137" s="156"/>
      <c r="E137" s="157"/>
      <c r="F137" s="158"/>
      <c r="G137" s="155"/>
      <c r="H137" s="155"/>
    </row>
    <row r="138" spans="2:8">
      <c r="B138" s="60"/>
      <c r="C138" s="155"/>
      <c r="D138" s="156"/>
      <c r="E138" s="157"/>
      <c r="F138" s="158"/>
      <c r="G138" s="155"/>
      <c r="H138" s="155"/>
    </row>
    <row r="139" spans="2:8">
      <c r="B139" s="60"/>
      <c r="C139" s="155"/>
      <c r="D139" s="156"/>
      <c r="E139" s="157"/>
      <c r="F139" s="158"/>
      <c r="G139" s="155"/>
      <c r="H139" s="155"/>
    </row>
    <row r="140" spans="2:8">
      <c r="B140" s="60"/>
      <c r="C140" s="155"/>
      <c r="D140" s="156"/>
      <c r="E140" s="157"/>
      <c r="F140" s="158"/>
      <c r="G140" s="155"/>
      <c r="H140" s="155"/>
    </row>
    <row r="141" spans="2:8">
      <c r="B141" s="60"/>
      <c r="C141" s="155"/>
      <c r="D141" s="156"/>
      <c r="E141" s="157"/>
      <c r="F141" s="158"/>
      <c r="G141" s="155"/>
      <c r="H141" s="155"/>
    </row>
    <row r="142" spans="2:8">
      <c r="B142" s="60"/>
      <c r="C142" s="155"/>
      <c r="D142" s="156"/>
      <c r="E142" s="157"/>
      <c r="F142" s="158"/>
      <c r="G142" s="155"/>
      <c r="H142" s="155"/>
    </row>
    <row r="143" spans="2:8">
      <c r="B143" s="60"/>
      <c r="C143" s="155"/>
      <c r="D143" s="156"/>
      <c r="E143" s="157"/>
      <c r="F143" s="158"/>
      <c r="G143" s="155"/>
      <c r="H143" s="155"/>
    </row>
    <row r="144" spans="2:8">
      <c r="B144" s="60"/>
      <c r="C144" s="155"/>
      <c r="D144" s="156"/>
      <c r="E144" s="157"/>
      <c r="F144" s="158"/>
      <c r="G144" s="155"/>
      <c r="H144" s="155"/>
    </row>
    <row r="145" spans="2:8">
      <c r="B145" s="60"/>
      <c r="C145" s="155"/>
      <c r="D145" s="156"/>
      <c r="E145" s="157"/>
      <c r="F145" s="158"/>
      <c r="G145" s="155"/>
      <c r="H145" s="155"/>
    </row>
    <row r="146" spans="2:8">
      <c r="B146" s="60"/>
      <c r="C146" s="155"/>
      <c r="D146" s="156"/>
      <c r="E146" s="157"/>
      <c r="F146" s="158"/>
      <c r="G146" s="155"/>
      <c r="H146" s="155"/>
    </row>
    <row r="147" spans="2:8">
      <c r="B147" s="60"/>
      <c r="C147" s="155"/>
      <c r="D147" s="156"/>
      <c r="E147" s="157"/>
      <c r="F147" s="158"/>
      <c r="G147" s="155"/>
      <c r="H147" s="155"/>
    </row>
    <row r="148" spans="2:8">
      <c r="B148" s="60"/>
      <c r="C148" s="155"/>
      <c r="D148" s="156"/>
      <c r="E148" s="157"/>
      <c r="F148" s="158"/>
      <c r="G148" s="155"/>
      <c r="H148" s="155"/>
    </row>
    <row r="149" spans="2:8">
      <c r="B149" s="60"/>
      <c r="C149" s="155"/>
      <c r="D149" s="156"/>
      <c r="E149" s="157"/>
      <c r="F149" s="158"/>
      <c r="G149" s="155"/>
      <c r="H149" s="155"/>
    </row>
    <row r="150" spans="2:8">
      <c r="B150" s="60"/>
      <c r="C150" s="155"/>
      <c r="D150" s="156"/>
      <c r="E150" s="157"/>
      <c r="F150" s="158"/>
      <c r="G150" s="155"/>
      <c r="H150" s="155"/>
    </row>
    <row r="151" spans="2:8">
      <c r="B151" s="60"/>
      <c r="C151" s="155"/>
      <c r="D151" s="156"/>
      <c r="E151" s="157"/>
      <c r="F151" s="158"/>
      <c r="G151" s="155"/>
      <c r="H151" s="155"/>
    </row>
    <row r="152" spans="2:8">
      <c r="B152" s="60"/>
      <c r="C152" s="155"/>
      <c r="D152" s="156"/>
      <c r="E152" s="157"/>
      <c r="F152" s="158"/>
      <c r="G152" s="155"/>
      <c r="H152" s="155"/>
    </row>
    <row r="153" spans="2:8">
      <c r="B153" s="60"/>
      <c r="C153" s="155"/>
      <c r="D153" s="156"/>
      <c r="E153" s="157"/>
      <c r="F153" s="158"/>
      <c r="G153" s="155"/>
      <c r="H153" s="155"/>
    </row>
    <row r="154" spans="2:8">
      <c r="B154" s="60"/>
      <c r="C154" s="155"/>
      <c r="D154" s="156"/>
      <c r="E154" s="157"/>
      <c r="F154" s="158"/>
      <c r="G154" s="155"/>
      <c r="H154" s="155"/>
    </row>
    <row r="155" spans="2:8">
      <c r="B155" s="60"/>
      <c r="C155" s="155"/>
      <c r="D155" s="156"/>
      <c r="E155" s="157"/>
      <c r="F155" s="158"/>
      <c r="G155" s="155"/>
      <c r="H155" s="155"/>
    </row>
    <row r="156" spans="2:8">
      <c r="B156" s="60"/>
      <c r="C156" s="155"/>
      <c r="D156" s="156"/>
      <c r="E156" s="157"/>
      <c r="F156" s="158"/>
      <c r="G156" s="155"/>
      <c r="H156" s="155"/>
    </row>
    <row r="157" spans="2:8">
      <c r="B157" s="60"/>
      <c r="C157" s="155"/>
      <c r="D157" s="156"/>
      <c r="E157" s="157"/>
      <c r="F157" s="158"/>
      <c r="G157" s="155"/>
      <c r="H157" s="155"/>
    </row>
    <row r="158" spans="2:8">
      <c r="B158" s="60"/>
      <c r="C158" s="155"/>
      <c r="D158" s="156"/>
      <c r="E158" s="157"/>
      <c r="F158" s="158"/>
      <c r="G158" s="155"/>
      <c r="H158" s="155"/>
    </row>
  </sheetData>
  <mergeCells count="27">
    <mergeCell ref="C49:E49"/>
    <mergeCell ref="Q14:Q15"/>
    <mergeCell ref="N4:N5"/>
    <mergeCell ref="N8:N9"/>
    <mergeCell ref="M10:M13"/>
    <mergeCell ref="AE1:AG1"/>
    <mergeCell ref="AE2:AG2"/>
    <mergeCell ref="AE3:AG3"/>
    <mergeCell ref="AE4:AG4"/>
    <mergeCell ref="AE5:AG5"/>
    <mergeCell ref="M1:S1"/>
    <mergeCell ref="F4:H4"/>
    <mergeCell ref="I4:K4"/>
    <mergeCell ref="F23:H23"/>
    <mergeCell ref="I23:K23"/>
    <mergeCell ref="O6:O7"/>
    <mergeCell ref="P6:P7"/>
    <mergeCell ref="Q6:Q7"/>
    <mergeCell ref="O14:O15"/>
    <mergeCell ref="P14:P15"/>
    <mergeCell ref="AE12:AG12"/>
    <mergeCell ref="AE6:AG6"/>
    <mergeCell ref="AE7:AG7"/>
    <mergeCell ref="AE8:AG8"/>
    <mergeCell ref="AE9:AG9"/>
    <mergeCell ref="AE10:AG10"/>
    <mergeCell ref="AE11:AG11"/>
  </mergeCells>
  <pageMargins left="0.75" right="0.75" top="1" bottom="1" header="0.5" footer="0.5"/>
  <pageSetup paperSize="9" orientation="portrait" horizontalDpi="4294967292" verticalDpi="4294967292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6" workbookViewId="0">
      <selection activeCell="H14" sqref="H14:I14"/>
    </sheetView>
  </sheetViews>
  <sheetFormatPr defaultRowHeight="15.75"/>
  <cols>
    <col min="1" max="1" width="48.375" customWidth="1"/>
    <col min="2" max="2" width="8" customWidth="1"/>
    <col min="3" max="3" width="10.375" customWidth="1"/>
    <col min="4" max="5" width="10.5" customWidth="1"/>
    <col min="7" max="7" width="32" customWidth="1"/>
    <col min="8" max="8" width="12" customWidth="1"/>
    <col min="9" max="9" width="13.75" customWidth="1"/>
    <col min="10" max="10" width="10.75" customWidth="1"/>
    <col min="12" max="12" width="22.25" customWidth="1"/>
  </cols>
  <sheetData>
    <row r="1" spans="1:12" ht="18.75">
      <c r="A1" s="252" t="s">
        <v>104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 ht="37.5" customHeight="1">
      <c r="A2" s="366" t="s">
        <v>105</v>
      </c>
      <c r="B2" s="284"/>
      <c r="C2" s="363" t="s">
        <v>170</v>
      </c>
      <c r="D2" s="363" t="s">
        <v>169</v>
      </c>
      <c r="E2" s="253" t="s">
        <v>106</v>
      </c>
      <c r="F2" s="250"/>
      <c r="G2" s="369" t="s">
        <v>107</v>
      </c>
      <c r="H2" s="370"/>
      <c r="I2" s="370"/>
      <c r="J2" s="371"/>
    </row>
    <row r="3" spans="1:12">
      <c r="A3" s="367"/>
      <c r="B3" s="285"/>
      <c r="C3" s="364"/>
      <c r="D3" s="364"/>
      <c r="E3" s="253"/>
      <c r="F3" s="250"/>
      <c r="G3" s="272"/>
      <c r="H3" s="273">
        <v>2017</v>
      </c>
      <c r="I3" s="273">
        <v>2016</v>
      </c>
      <c r="J3" s="243"/>
    </row>
    <row r="4" spans="1:12" ht="45" customHeight="1">
      <c r="A4" s="368"/>
      <c r="B4" s="286"/>
      <c r="C4" s="365"/>
      <c r="D4" s="365"/>
      <c r="E4" s="301" t="s">
        <v>177</v>
      </c>
      <c r="F4" s="250"/>
      <c r="G4" s="249" t="s">
        <v>108</v>
      </c>
      <c r="H4" s="274">
        <f>C18-C15+C21+C26+C27</f>
        <v>573888</v>
      </c>
      <c r="I4" s="274">
        <f>D18-D15+D21+D26+D27</f>
        <v>1037213</v>
      </c>
      <c r="J4" s="376" t="s">
        <v>155</v>
      </c>
      <c r="K4" s="376"/>
      <c r="L4" s="376"/>
    </row>
    <row r="5" spans="1:12" ht="59.25" customHeight="1" thickBot="1">
      <c r="A5" s="254" t="s">
        <v>109</v>
      </c>
      <c r="B5" s="254"/>
      <c r="C5" s="254"/>
      <c r="D5" s="254"/>
      <c r="E5" s="255"/>
      <c r="F5" s="250"/>
      <c r="G5" s="245" t="s">
        <v>154</v>
      </c>
      <c r="H5" s="275">
        <f>H4+C15+C41+C42</f>
        <v>36757</v>
      </c>
      <c r="I5" s="275">
        <f>I4+D15+D41+D42</f>
        <v>284070</v>
      </c>
      <c r="J5" s="376" t="s">
        <v>159</v>
      </c>
      <c r="K5" s="377"/>
      <c r="L5" s="377"/>
    </row>
    <row r="6" spans="1:12" ht="55.5" customHeight="1" thickBot="1">
      <c r="A6" s="256" t="s">
        <v>110</v>
      </c>
      <c r="B6" s="289">
        <v>4110</v>
      </c>
      <c r="C6" s="261">
        <f>SUM(C7:C11)</f>
        <v>4860172</v>
      </c>
      <c r="D6" s="261">
        <f>SUM(D7:D11)</f>
        <v>7384275</v>
      </c>
      <c r="E6" s="259">
        <f>C6-D6</f>
        <v>-2524103</v>
      </c>
      <c r="F6" s="250"/>
      <c r="G6" s="244" t="s">
        <v>111</v>
      </c>
      <c r="H6" s="276">
        <f>H4+C33+C36+C37+C15+C41+C42</f>
        <v>280058</v>
      </c>
      <c r="I6" s="276">
        <f>I4+D33+D36+D37+D15+D41+D42</f>
        <v>766458</v>
      </c>
      <c r="J6" s="376" t="s">
        <v>157</v>
      </c>
      <c r="K6" s="376"/>
      <c r="L6" s="376"/>
    </row>
    <row r="7" spans="1:12" ht="62.25" customHeight="1" thickBot="1">
      <c r="A7" s="260" t="s">
        <v>112</v>
      </c>
      <c r="B7" s="290">
        <v>4111</v>
      </c>
      <c r="C7" s="257">
        <v>4476721</v>
      </c>
      <c r="D7" s="258">
        <v>5692110</v>
      </c>
      <c r="E7" s="259">
        <f t="shared" ref="E7:E47" si="0">C7-D7</f>
        <v>-1215389</v>
      </c>
      <c r="F7" s="250"/>
      <c r="G7" s="245" t="s">
        <v>153</v>
      </c>
      <c r="H7" s="275">
        <f>H6+C40</f>
        <v>280058</v>
      </c>
      <c r="I7" s="275">
        <f>I6+D40</f>
        <v>141458</v>
      </c>
      <c r="J7" s="376" t="s">
        <v>158</v>
      </c>
      <c r="K7" s="377"/>
      <c r="L7" s="377"/>
    </row>
    <row r="8" spans="1:12" ht="58.5" customHeight="1" thickBot="1">
      <c r="A8" s="260" t="s">
        <v>113</v>
      </c>
      <c r="B8" s="290">
        <v>4112</v>
      </c>
      <c r="C8" s="257">
        <v>4847</v>
      </c>
      <c r="D8" s="258">
        <v>3650</v>
      </c>
      <c r="E8" s="259">
        <f t="shared" si="0"/>
        <v>1197</v>
      </c>
      <c r="F8" s="250"/>
      <c r="G8" s="245" t="s">
        <v>114</v>
      </c>
      <c r="H8" s="288">
        <f>H5+C40+C39</f>
        <v>36757</v>
      </c>
      <c r="I8" s="288">
        <f>I5+D40+D39</f>
        <v>-340930</v>
      </c>
      <c r="J8" s="376" t="s">
        <v>156</v>
      </c>
      <c r="K8" s="376"/>
      <c r="L8" s="376"/>
    </row>
    <row r="9" spans="1:12" ht="16.5" thickBot="1">
      <c r="A9" s="260" t="s">
        <v>115</v>
      </c>
      <c r="B9" s="290">
        <v>4113</v>
      </c>
      <c r="C9" s="257">
        <v>30899</v>
      </c>
      <c r="D9" s="258">
        <v>0</v>
      </c>
      <c r="E9" s="259">
        <f t="shared" si="0"/>
        <v>30899</v>
      </c>
      <c r="F9" s="250"/>
      <c r="G9" s="245"/>
      <c r="H9" s="268"/>
      <c r="I9" s="268"/>
      <c r="J9" s="242"/>
    </row>
    <row r="10" spans="1:12" ht="16.5" thickBot="1">
      <c r="A10" s="260" t="s">
        <v>116</v>
      </c>
      <c r="B10" s="290">
        <v>4114</v>
      </c>
      <c r="C10" s="257">
        <v>15538</v>
      </c>
      <c r="D10" s="258">
        <v>187708</v>
      </c>
      <c r="E10" s="259">
        <f t="shared" si="0"/>
        <v>-172170</v>
      </c>
      <c r="F10" s="250"/>
      <c r="G10" s="248" t="s">
        <v>117</v>
      </c>
      <c r="H10" s="341">
        <f>C6/(-1*C12)</f>
        <v>1.1117607081527834</v>
      </c>
      <c r="I10" s="341">
        <f>D6/(-1*D12)</f>
        <v>1.1327060527109001</v>
      </c>
      <c r="J10" s="268"/>
    </row>
    <row r="11" spans="1:12" ht="26.25" thickBot="1">
      <c r="A11" s="260" t="s">
        <v>118</v>
      </c>
      <c r="B11" s="290">
        <v>4119</v>
      </c>
      <c r="C11" s="287">
        <v>332167</v>
      </c>
      <c r="D11" s="258">
        <v>1500807</v>
      </c>
      <c r="E11" s="259">
        <f t="shared" si="0"/>
        <v>-1168640</v>
      </c>
      <c r="F11" s="250"/>
      <c r="G11" s="247" t="s">
        <v>119</v>
      </c>
      <c r="H11" s="341">
        <f>C7/H30</f>
        <v>0.92767247245820139</v>
      </c>
      <c r="I11" s="341">
        <f>D7/I30</f>
        <v>1.1199938452687175</v>
      </c>
      <c r="J11" s="268"/>
    </row>
    <row r="12" spans="1:12" ht="16.5" thickBot="1">
      <c r="A12" s="256" t="s">
        <v>121</v>
      </c>
      <c r="B12" s="289">
        <v>4120</v>
      </c>
      <c r="C12" s="261">
        <f>SUM(C13:C17)</f>
        <v>-4371599</v>
      </c>
      <c r="D12" s="261">
        <f>SUM(D13:D17)</f>
        <v>-6519145</v>
      </c>
      <c r="E12" s="259">
        <f t="shared" si="0"/>
        <v>2147546</v>
      </c>
      <c r="F12" s="251"/>
      <c r="G12" s="372" t="s">
        <v>122</v>
      </c>
      <c r="H12" s="374">
        <f>H4/(C15+C41+C42)*-1</f>
        <v>1.0684320957084956</v>
      </c>
      <c r="I12" s="374">
        <f>I4/(D15+D41+D42)*-1</f>
        <v>1.3771793669993613</v>
      </c>
      <c r="J12" s="269"/>
    </row>
    <row r="13" spans="1:12" ht="16.5" thickBot="1">
      <c r="A13" s="260" t="s">
        <v>123</v>
      </c>
      <c r="B13" s="290">
        <v>4121</v>
      </c>
      <c r="C13" s="257">
        <v>-3534143</v>
      </c>
      <c r="D13" s="258">
        <v>-4619006</v>
      </c>
      <c r="E13" s="259">
        <f t="shared" si="0"/>
        <v>1084863</v>
      </c>
      <c r="F13" s="250"/>
      <c r="G13" s="373"/>
      <c r="H13" s="375"/>
      <c r="I13" s="375"/>
      <c r="J13" s="268"/>
    </row>
    <row r="14" spans="1:12" ht="27" thickBot="1">
      <c r="A14" s="260" t="s">
        <v>124</v>
      </c>
      <c r="B14" s="290">
        <v>4122</v>
      </c>
      <c r="C14" s="257">
        <v>-435083</v>
      </c>
      <c r="D14" s="258">
        <v>-467569</v>
      </c>
      <c r="E14" s="259">
        <f t="shared" si="0"/>
        <v>32486</v>
      </c>
      <c r="F14" s="250"/>
      <c r="G14" s="246" t="s">
        <v>125</v>
      </c>
      <c r="H14" s="341">
        <f>(C18-C15-C16)/C15*-1</f>
        <v>5.8633904556981484</v>
      </c>
      <c r="I14" s="341">
        <f>(D18-D15-D16)/D15*-1</f>
        <v>6.4299839587661403</v>
      </c>
      <c r="J14" s="268"/>
    </row>
    <row r="15" spans="1:12" ht="27" customHeight="1" thickBot="1">
      <c r="A15" s="260" t="s">
        <v>126</v>
      </c>
      <c r="B15" s="290">
        <v>4123</v>
      </c>
      <c r="C15" s="257">
        <v>-130130</v>
      </c>
      <c r="D15" s="258">
        <v>-190135</v>
      </c>
      <c r="E15" s="259">
        <f t="shared" si="0"/>
        <v>60005</v>
      </c>
      <c r="F15" s="250"/>
      <c r="G15" s="247" t="s">
        <v>120</v>
      </c>
      <c r="H15" s="341">
        <f>C18/H46</f>
        <v>0.80735316960641423</v>
      </c>
      <c r="I15" s="341">
        <f>D18/I46</f>
        <v>1.4695500625101918</v>
      </c>
      <c r="J15" s="268"/>
    </row>
    <row r="16" spans="1:12" ht="29.25" customHeight="1" thickBot="1">
      <c r="A16" s="298" t="s">
        <v>160</v>
      </c>
      <c r="B16" s="290">
        <v>4124</v>
      </c>
      <c r="C16" s="257">
        <v>-144300</v>
      </c>
      <c r="D16" s="258">
        <v>-167300</v>
      </c>
      <c r="E16" s="259">
        <f t="shared" si="0"/>
        <v>23000</v>
      </c>
      <c r="F16" s="250"/>
      <c r="G16" s="342" t="s">
        <v>191</v>
      </c>
      <c r="H16" s="236">
        <f>C18/'Аналитика данных'!C43</f>
        <v>0.53296934656921569</v>
      </c>
      <c r="I16" s="236">
        <f>D18/'Аналитика данных'!D43</f>
        <v>1.4690609611139414</v>
      </c>
      <c r="J16" s="268"/>
    </row>
    <row r="17" spans="1:10" ht="32.25" customHeight="1" thickBot="1">
      <c r="A17" s="260" t="s">
        <v>127</v>
      </c>
      <c r="B17" s="290">
        <v>4129</v>
      </c>
      <c r="C17" s="257">
        <v>-127943</v>
      </c>
      <c r="D17" s="258">
        <v>-1075135</v>
      </c>
      <c r="E17" s="259">
        <f t="shared" si="0"/>
        <v>947192</v>
      </c>
      <c r="F17" s="250"/>
      <c r="G17" s="342" t="s">
        <v>192</v>
      </c>
      <c r="H17" s="343">
        <f>C18/H30</f>
        <v>0.10124278973076964</v>
      </c>
      <c r="I17" s="343">
        <f>D18/I30</f>
        <v>0.17022514943620654</v>
      </c>
      <c r="J17" s="268"/>
    </row>
    <row r="18" spans="1:10" ht="30" customHeight="1">
      <c r="A18" s="263" t="s">
        <v>128</v>
      </c>
      <c r="B18" s="297">
        <v>4100</v>
      </c>
      <c r="C18" s="264">
        <f>SUM(C6+C12)</f>
        <v>488573</v>
      </c>
      <c r="D18" s="264">
        <f>SUM(D6+D12)</f>
        <v>865130</v>
      </c>
      <c r="E18" s="259">
        <f t="shared" si="0"/>
        <v>-376557</v>
      </c>
      <c r="F18" s="250"/>
      <c r="G18" s="342" t="s">
        <v>193</v>
      </c>
      <c r="H18" s="343">
        <f>C18/(('Аналитика данных'!C44+'Аналитика данных'!D44)/2)</f>
        <v>9.8096194195420178E-2</v>
      </c>
      <c r="I18" s="343">
        <f>D18/(('Аналитика данных'!D44+'Аналитика данных'!E44)/2)</f>
        <v>0.17027939338470471</v>
      </c>
      <c r="J18" s="268"/>
    </row>
    <row r="19" spans="1:10" ht="33.75" customHeight="1" thickBot="1">
      <c r="A19" s="254" t="s">
        <v>129</v>
      </c>
      <c r="B19" s="254"/>
      <c r="C19" s="254"/>
      <c r="D19" s="254"/>
      <c r="E19" s="259">
        <f t="shared" si="0"/>
        <v>0</v>
      </c>
      <c r="F19" s="250"/>
      <c r="G19" s="342" t="s">
        <v>194</v>
      </c>
      <c r="H19" s="343">
        <f>H6/(('Аналитика данных'!C31+'Аналитика данных'!D31)/2)</f>
        <v>8.0654897330299805E-2</v>
      </c>
      <c r="I19" s="343">
        <f>I6/(('Аналитика данных'!D31+'Аналитика данных'!E31)/2)</f>
        <v>0.21895672046850451</v>
      </c>
      <c r="J19" s="268"/>
    </row>
    <row r="20" spans="1:10" ht="27" customHeight="1" thickBot="1">
      <c r="A20" s="256" t="s">
        <v>110</v>
      </c>
      <c r="B20" s="289">
        <v>4210</v>
      </c>
      <c r="C20" s="261">
        <f>SUM(C21:C24)</f>
        <v>945604</v>
      </c>
      <c r="D20" s="261">
        <f>SUM(D21:D24)</f>
        <v>1366957</v>
      </c>
      <c r="E20" s="259">
        <f t="shared" si="0"/>
        <v>-421353</v>
      </c>
      <c r="F20" s="250"/>
      <c r="G20" s="270"/>
      <c r="H20" s="268"/>
      <c r="I20" s="268"/>
      <c r="J20" s="268"/>
    </row>
    <row r="21" spans="1:10" ht="23.25" customHeight="1" thickBot="1">
      <c r="A21" s="260" t="s">
        <v>130</v>
      </c>
      <c r="B21" s="290">
        <v>4211</v>
      </c>
      <c r="C21" s="257">
        <v>5523</v>
      </c>
      <c r="D21" s="258">
        <v>2508</v>
      </c>
      <c r="E21" s="259">
        <f t="shared" si="0"/>
        <v>3015</v>
      </c>
      <c r="F21" s="250"/>
      <c r="G21" s="270"/>
      <c r="H21" s="268"/>
      <c r="I21" s="268"/>
      <c r="J21" s="268"/>
    </row>
    <row r="22" spans="1:10" ht="30.75" customHeight="1" thickBot="1">
      <c r="A22" s="298" t="s">
        <v>161</v>
      </c>
      <c r="B22" s="290">
        <v>4212</v>
      </c>
      <c r="C22" s="257">
        <v>0</v>
      </c>
      <c r="D22" s="258">
        <v>0</v>
      </c>
      <c r="E22" s="259">
        <f t="shared" si="0"/>
        <v>0</v>
      </c>
      <c r="F22" s="250"/>
      <c r="G22" s="270"/>
      <c r="H22" s="268"/>
      <c r="I22" s="268"/>
      <c r="J22" s="268"/>
    </row>
    <row r="23" spans="1:10" ht="27" customHeight="1" thickBot="1">
      <c r="A23" s="260" t="s">
        <v>131</v>
      </c>
      <c r="B23" s="290">
        <v>4213</v>
      </c>
      <c r="C23" s="257">
        <v>692071</v>
      </c>
      <c r="D23" s="258">
        <v>1057323</v>
      </c>
      <c r="E23" s="259">
        <f t="shared" si="0"/>
        <v>-365252</v>
      </c>
      <c r="F23" s="250"/>
      <c r="G23" s="270"/>
      <c r="H23" s="268"/>
      <c r="I23" s="268"/>
      <c r="J23" s="268"/>
    </row>
    <row r="24" spans="1:10" ht="30.75" thickBot="1">
      <c r="A24" s="260" t="s">
        <v>132</v>
      </c>
      <c r="B24" s="290">
        <v>4214</v>
      </c>
      <c r="C24" s="257">
        <v>248010</v>
      </c>
      <c r="D24" s="258">
        <v>307126</v>
      </c>
      <c r="E24" s="259">
        <f t="shared" si="0"/>
        <v>-59116</v>
      </c>
      <c r="F24" s="250"/>
      <c r="G24" s="270"/>
      <c r="H24" s="268"/>
      <c r="I24" s="268"/>
      <c r="J24" s="268"/>
    </row>
    <row r="25" spans="1:10" ht="24.75" customHeight="1" thickBot="1">
      <c r="A25" s="256" t="s">
        <v>121</v>
      </c>
      <c r="B25" s="291">
        <v>4220</v>
      </c>
      <c r="C25" s="261">
        <f>SUM(C26:C29)</f>
        <v>-1270799</v>
      </c>
      <c r="D25" s="261">
        <f>SUM(D26:D29)</f>
        <v>-1525772</v>
      </c>
      <c r="E25" s="259">
        <f t="shared" si="0"/>
        <v>254973</v>
      </c>
      <c r="F25" s="251"/>
      <c r="G25" s="271"/>
      <c r="H25" s="269"/>
      <c r="I25" s="269"/>
      <c r="J25" s="269"/>
    </row>
    <row r="26" spans="1:10" ht="30" customHeight="1" thickBot="1">
      <c r="A26" s="260" t="s">
        <v>133</v>
      </c>
      <c r="B26" s="290">
        <v>4221</v>
      </c>
      <c r="C26" s="257">
        <v>-50338</v>
      </c>
      <c r="D26" s="257">
        <v>-20560</v>
      </c>
      <c r="E26" s="259">
        <f t="shared" si="0"/>
        <v>-29778</v>
      </c>
      <c r="F26" s="250"/>
      <c r="G26" s="270"/>
      <c r="H26" s="268"/>
      <c r="I26" s="268"/>
      <c r="J26" s="268"/>
    </row>
    <row r="27" spans="1:10" ht="24.75" customHeight="1" thickBot="1">
      <c r="A27" s="260" t="s">
        <v>134</v>
      </c>
      <c r="B27" s="290">
        <v>4222</v>
      </c>
      <c r="C27" s="257"/>
      <c r="D27" s="257"/>
      <c r="E27" s="259">
        <f t="shared" si="0"/>
        <v>0</v>
      </c>
      <c r="F27" s="250"/>
      <c r="G27" s="250"/>
      <c r="H27" s="250"/>
      <c r="I27" s="250"/>
      <c r="J27" s="250"/>
    </row>
    <row r="28" spans="1:10" ht="30" customHeight="1" thickBot="1">
      <c r="A28" s="260" t="s">
        <v>135</v>
      </c>
      <c r="B28" s="290">
        <v>4223</v>
      </c>
      <c r="C28" s="257">
        <v>-1220461</v>
      </c>
      <c r="D28" s="257">
        <v>-1505212</v>
      </c>
      <c r="E28" s="259">
        <f t="shared" si="0"/>
        <v>284751</v>
      </c>
      <c r="F28" s="250"/>
      <c r="G28" s="277" t="s">
        <v>34</v>
      </c>
      <c r="H28" s="250"/>
      <c r="I28" s="250"/>
      <c r="J28" s="250" t="s">
        <v>41</v>
      </c>
    </row>
    <row r="29" spans="1:10" ht="16.5" thickBot="1">
      <c r="A29" s="260" t="s">
        <v>127</v>
      </c>
      <c r="B29" s="290">
        <v>4229</v>
      </c>
      <c r="C29" s="257"/>
      <c r="D29" s="257"/>
      <c r="E29" s="259">
        <f t="shared" si="0"/>
        <v>0</v>
      </c>
      <c r="F29" s="250"/>
      <c r="G29" s="283" t="s">
        <v>35</v>
      </c>
      <c r="H29" s="283">
        <v>2017</v>
      </c>
      <c r="I29" s="283">
        <v>2016</v>
      </c>
      <c r="J29" s="283">
        <v>2015</v>
      </c>
    </row>
    <row r="30" spans="1:10" ht="36.75" customHeight="1">
      <c r="A30" s="263" t="s">
        <v>136</v>
      </c>
      <c r="B30" s="263"/>
      <c r="C30" s="265">
        <f>C20+C25</f>
        <v>-325195</v>
      </c>
      <c r="D30" s="265">
        <f>D20+D25</f>
        <v>-158815</v>
      </c>
      <c r="E30" s="259">
        <f t="shared" si="0"/>
        <v>-166380</v>
      </c>
      <c r="F30" s="250"/>
      <c r="G30" s="282" t="s">
        <v>36</v>
      </c>
      <c r="H30" s="281">
        <v>4825756</v>
      </c>
      <c r="I30" s="281">
        <v>5082269</v>
      </c>
      <c r="J30" s="281">
        <v>5595561</v>
      </c>
    </row>
    <row r="31" spans="1:10" ht="31.5" customHeight="1" thickBot="1">
      <c r="A31" s="254" t="s">
        <v>137</v>
      </c>
      <c r="B31" s="292">
        <v>4200</v>
      </c>
      <c r="C31" s="254"/>
      <c r="D31" s="254"/>
      <c r="E31" s="259">
        <f t="shared" si="0"/>
        <v>0</v>
      </c>
      <c r="F31" s="250"/>
      <c r="G31" s="282" t="s">
        <v>57</v>
      </c>
      <c r="H31" s="281">
        <v>2046789</v>
      </c>
      <c r="I31" s="281">
        <v>2333294</v>
      </c>
      <c r="J31" s="281">
        <v>2718623</v>
      </c>
    </row>
    <row r="32" spans="1:10" ht="16.5" thickBot="1">
      <c r="A32" s="256" t="s">
        <v>138</v>
      </c>
      <c r="B32" s="289">
        <v>4310</v>
      </c>
      <c r="C32" s="261">
        <f>SUM(C33:C37)</f>
        <v>243301</v>
      </c>
      <c r="D32" s="261">
        <f>SUM(D33:D37)</f>
        <v>482388</v>
      </c>
      <c r="E32" s="259">
        <f t="shared" si="0"/>
        <v>-239087</v>
      </c>
      <c r="F32" s="250"/>
      <c r="G32" s="282" t="s">
        <v>37</v>
      </c>
      <c r="H32" s="281">
        <v>2778967</v>
      </c>
      <c r="I32" s="281">
        <v>2748975</v>
      </c>
      <c r="J32" s="281">
        <v>2876938</v>
      </c>
    </row>
    <row r="33" spans="1:10" ht="29.25" customHeight="1" thickBot="1">
      <c r="A33" s="260" t="s">
        <v>139</v>
      </c>
      <c r="B33" s="290">
        <v>4311</v>
      </c>
      <c r="C33" s="257">
        <v>95000</v>
      </c>
      <c r="D33" s="258">
        <v>280000</v>
      </c>
      <c r="E33" s="259">
        <f t="shared" si="0"/>
        <v>-185000</v>
      </c>
      <c r="F33" s="250"/>
      <c r="G33" s="282" t="s">
        <v>38</v>
      </c>
      <c r="H33" s="281">
        <v>1088342</v>
      </c>
      <c r="I33" s="281">
        <v>1177259</v>
      </c>
      <c r="J33" s="281">
        <v>1081912</v>
      </c>
    </row>
    <row r="34" spans="1:10" ht="30" customHeight="1" thickBot="1">
      <c r="A34" s="260" t="s">
        <v>151</v>
      </c>
      <c r="B34" s="290">
        <v>4312</v>
      </c>
      <c r="C34" s="257"/>
      <c r="D34" s="258"/>
      <c r="E34" s="259">
        <f t="shared" si="0"/>
        <v>0</v>
      </c>
      <c r="F34" s="250"/>
      <c r="G34" s="282"/>
      <c r="H34" s="281"/>
      <c r="I34" s="281"/>
      <c r="J34" s="281"/>
    </row>
    <row r="35" spans="1:10" ht="25.5" customHeight="1" thickBot="1">
      <c r="A35" s="260" t="s">
        <v>152</v>
      </c>
      <c r="B35" s="290">
        <v>4313</v>
      </c>
      <c r="C35" s="257"/>
      <c r="D35" s="258"/>
      <c r="E35" s="259">
        <f t="shared" si="0"/>
        <v>0</v>
      </c>
      <c r="F35" s="250"/>
      <c r="G35" s="282" t="s">
        <v>39</v>
      </c>
      <c r="H35" s="281">
        <v>567034</v>
      </c>
      <c r="I35" s="281">
        <v>540080</v>
      </c>
      <c r="J35" s="281">
        <v>552561</v>
      </c>
    </row>
    <row r="36" spans="1:10" ht="29.25" customHeight="1" thickBot="1">
      <c r="A36" s="260" t="s">
        <v>140</v>
      </c>
      <c r="B36" s="290">
        <v>4314</v>
      </c>
      <c r="C36" s="257"/>
      <c r="D36" s="258">
        <v>24268</v>
      </c>
      <c r="E36" s="259">
        <f t="shared" si="0"/>
        <v>-24268</v>
      </c>
      <c r="F36" s="250"/>
      <c r="G36" s="282" t="s">
        <v>40</v>
      </c>
      <c r="H36" s="281">
        <v>1123591</v>
      </c>
      <c r="I36" s="281">
        <v>1031636</v>
      </c>
      <c r="J36" s="281">
        <v>1242465</v>
      </c>
    </row>
    <row r="37" spans="1:10" ht="23.25" customHeight="1" thickBot="1">
      <c r="A37" s="260" t="s">
        <v>141</v>
      </c>
      <c r="B37" s="290">
        <v>4319</v>
      </c>
      <c r="C37" s="257">
        <v>148301</v>
      </c>
      <c r="D37" s="258">
        <v>178120</v>
      </c>
      <c r="E37" s="259">
        <f t="shared" si="0"/>
        <v>-29819</v>
      </c>
      <c r="F37" s="250"/>
      <c r="G37" s="282" t="s">
        <v>42</v>
      </c>
      <c r="H37" s="281">
        <v>0</v>
      </c>
      <c r="I37" s="281">
        <v>0</v>
      </c>
      <c r="J37" s="281">
        <v>1806</v>
      </c>
    </row>
    <row r="38" spans="1:10" ht="16.5" thickBot="1">
      <c r="A38" s="256" t="s">
        <v>121</v>
      </c>
      <c r="B38" s="293">
        <v>4320</v>
      </c>
      <c r="C38" s="261">
        <f>SUM(C39:C42)</f>
        <v>-407001</v>
      </c>
      <c r="D38" s="261">
        <f>SUM(D39:D42)</f>
        <v>-1188008</v>
      </c>
      <c r="E38" s="259">
        <f t="shared" si="0"/>
        <v>781007</v>
      </c>
      <c r="F38" s="251"/>
      <c r="G38" s="282" t="s">
        <v>44</v>
      </c>
      <c r="H38" s="281">
        <v>186456</v>
      </c>
      <c r="I38" s="281">
        <v>102313</v>
      </c>
      <c r="J38" s="281">
        <v>101491</v>
      </c>
    </row>
    <row r="39" spans="1:10" ht="33.75" customHeight="1" thickBot="1">
      <c r="A39" s="260" t="s">
        <v>142</v>
      </c>
      <c r="B39" s="294">
        <v>4321</v>
      </c>
      <c r="C39" s="261"/>
      <c r="D39" s="262"/>
      <c r="E39" s="259">
        <f t="shared" si="0"/>
        <v>0</v>
      </c>
      <c r="F39" s="251"/>
      <c r="G39" s="282" t="s">
        <v>45</v>
      </c>
      <c r="H39" s="281">
        <v>132006</v>
      </c>
      <c r="I39" s="281">
        <v>100163</v>
      </c>
      <c r="J39" s="281">
        <v>114081</v>
      </c>
    </row>
    <row r="40" spans="1:10" ht="29.25" customHeight="1" thickBot="1">
      <c r="A40" s="260" t="s">
        <v>143</v>
      </c>
      <c r="B40" s="290">
        <v>4322</v>
      </c>
      <c r="C40" s="257"/>
      <c r="D40" s="258">
        <v>-625000</v>
      </c>
      <c r="E40" s="259">
        <f t="shared" si="0"/>
        <v>625000</v>
      </c>
      <c r="F40" s="251"/>
      <c r="G40" s="282" t="s">
        <v>46</v>
      </c>
      <c r="H40" s="281">
        <v>298763</v>
      </c>
      <c r="I40" s="281">
        <v>270928</v>
      </c>
      <c r="J40" s="281">
        <v>323616</v>
      </c>
    </row>
    <row r="41" spans="1:10" ht="32.25" customHeight="1" thickBot="1">
      <c r="A41" s="260" t="s">
        <v>144</v>
      </c>
      <c r="B41" s="290">
        <v>4323</v>
      </c>
      <c r="C41" s="257">
        <v>-407001</v>
      </c>
      <c r="D41" s="257">
        <v>-367503</v>
      </c>
      <c r="E41" s="259">
        <f t="shared" si="0"/>
        <v>-39498</v>
      </c>
      <c r="F41" s="250"/>
      <c r="G41" s="282" t="s">
        <v>98</v>
      </c>
      <c r="H41" s="281">
        <v>782965</v>
      </c>
      <c r="I41" s="281">
        <v>771563</v>
      </c>
      <c r="J41" s="281">
        <v>941305</v>
      </c>
    </row>
    <row r="42" spans="1:10" ht="25.5" customHeight="1" thickBot="1">
      <c r="A42" s="260" t="s">
        <v>127</v>
      </c>
      <c r="B42" s="290">
        <v>4329</v>
      </c>
      <c r="C42" s="257"/>
      <c r="D42" s="257">
        <v>-195505</v>
      </c>
      <c r="E42" s="259">
        <f t="shared" si="0"/>
        <v>195505</v>
      </c>
      <c r="F42" s="250"/>
      <c r="G42" s="282" t="s">
        <v>47</v>
      </c>
      <c r="H42" s="280">
        <v>156593</v>
      </c>
      <c r="I42" s="281">
        <v>160229</v>
      </c>
      <c r="J42" s="281">
        <v>192419</v>
      </c>
    </row>
    <row r="43" spans="1:10" ht="35.25" customHeight="1" thickBot="1">
      <c r="A43" s="263" t="s">
        <v>145</v>
      </c>
      <c r="B43" s="296">
        <v>4300</v>
      </c>
      <c r="C43" s="265">
        <f>C32+C38</f>
        <v>-163700</v>
      </c>
      <c r="D43" s="265">
        <f>D32+D38</f>
        <v>-705620</v>
      </c>
      <c r="E43" s="259">
        <f t="shared" si="0"/>
        <v>541920</v>
      </c>
      <c r="F43" s="250"/>
      <c r="G43" s="282" t="s">
        <v>163</v>
      </c>
      <c r="H43" s="280">
        <v>18362</v>
      </c>
      <c r="I43" s="280">
        <v>20035</v>
      </c>
      <c r="J43" s="280">
        <v>26444</v>
      </c>
    </row>
    <row r="44" spans="1:10" ht="39" customHeight="1" thickBot="1">
      <c r="A44" s="266" t="s">
        <v>146</v>
      </c>
      <c r="B44" s="295">
        <v>4400</v>
      </c>
      <c r="C44" s="267">
        <f>C18+C30+C43</f>
        <v>-322</v>
      </c>
      <c r="D44" s="267">
        <f>D18+D30+D43</f>
        <v>695</v>
      </c>
      <c r="E44" s="259">
        <f t="shared" si="0"/>
        <v>-1017</v>
      </c>
      <c r="F44" s="250"/>
      <c r="G44" s="279" t="s">
        <v>162</v>
      </c>
      <c r="H44" s="280">
        <v>0</v>
      </c>
      <c r="I44" s="280">
        <v>409</v>
      </c>
      <c r="J44" s="278">
        <v>0</v>
      </c>
    </row>
    <row r="45" spans="1:10" ht="31.5" customHeight="1" thickBot="1">
      <c r="A45" s="263" t="s">
        <v>147</v>
      </c>
      <c r="B45" s="295">
        <v>4450</v>
      </c>
      <c r="C45" s="265">
        <f>'Аналитика данных'!D18</f>
        <v>3000</v>
      </c>
      <c r="D45" s="265">
        <f>'Аналитика данных'!E18</f>
        <v>2000</v>
      </c>
      <c r="E45" s="259">
        <f t="shared" si="0"/>
        <v>1000</v>
      </c>
      <c r="F45" s="250"/>
      <c r="G45" s="279" t="s">
        <v>48</v>
      </c>
      <c r="H45" s="280">
        <v>2856</v>
      </c>
      <c r="I45" s="280">
        <v>3004</v>
      </c>
      <c r="J45" s="278">
        <v>4737</v>
      </c>
    </row>
    <row r="46" spans="1:10" ht="27" customHeight="1" thickBot="1">
      <c r="A46" s="263" t="s">
        <v>148</v>
      </c>
      <c r="B46" s="295">
        <v>4490</v>
      </c>
      <c r="C46" s="265">
        <v>1322</v>
      </c>
      <c r="D46" s="265">
        <v>305</v>
      </c>
      <c r="E46" s="259">
        <f t="shared" si="0"/>
        <v>1017</v>
      </c>
      <c r="F46" s="250"/>
      <c r="G46" s="279" t="s">
        <v>49</v>
      </c>
      <c r="H46" s="280">
        <v>605154</v>
      </c>
      <c r="I46" s="280">
        <v>588704</v>
      </c>
      <c r="J46" s="278">
        <v>717705</v>
      </c>
    </row>
    <row r="47" spans="1:10" ht="25.5" customHeight="1" thickBot="1">
      <c r="A47" s="263" t="s">
        <v>168</v>
      </c>
      <c r="B47" s="295">
        <v>4500</v>
      </c>
      <c r="C47" s="265">
        <f>C45+C44+C46</f>
        <v>4000</v>
      </c>
      <c r="D47" s="265">
        <f>D45+D44+D46</f>
        <v>3000</v>
      </c>
      <c r="E47" s="259">
        <f t="shared" si="0"/>
        <v>1000</v>
      </c>
      <c r="F47" s="250"/>
      <c r="G47" s="250"/>
      <c r="H47" s="250"/>
      <c r="I47" s="250"/>
      <c r="J47" s="250"/>
    </row>
  </sheetData>
  <mergeCells count="12">
    <mergeCell ref="C2:C4"/>
    <mergeCell ref="D2:D4"/>
    <mergeCell ref="A2:A4"/>
    <mergeCell ref="G2:J2"/>
    <mergeCell ref="G12:G13"/>
    <mergeCell ref="H12:H13"/>
    <mergeCell ref="I12:I13"/>
    <mergeCell ref="J4:L4"/>
    <mergeCell ref="J5:L5"/>
    <mergeCell ref="J6:L6"/>
    <mergeCell ref="J7:L7"/>
    <mergeCell ref="J8:L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Аналитика данных</vt:lpstr>
      <vt:lpstr>Оценка ДП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Солнечная</dc:creator>
  <cp:lastModifiedBy>Алла Чалова</cp:lastModifiedBy>
  <dcterms:created xsi:type="dcterms:W3CDTF">2016-04-04T06:13:07Z</dcterms:created>
  <dcterms:modified xsi:type="dcterms:W3CDTF">2019-12-18T11:19:06Z</dcterms:modified>
</cp:coreProperties>
</file>